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porabniki\Samo\Documents\POPLAVE, NEURJA\POPLAVA 4.8.2023\JN 430 24 2025 SANACIJA, NADOMESTNI MOST NA LC 282051 ŽLABOR DOBLETINA PO 4.8.2025\PROJEKT PROVOG\"/>
    </mc:Choice>
  </mc:AlternateContent>
  <xr:revisionPtr revIDLastSave="0" documentId="13_ncr:1_{43507FF5-0EED-4ADA-B543-7BD82CF2C59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aslovnica" sheetId="2" r:id="rId1"/>
    <sheet name="MOST" sheetId="9" r:id="rId2"/>
  </sheets>
  <definedNames>
    <definedName name="_xlnm.Print_Area" localSheetId="1">MOST!$A$1:$F$74</definedName>
    <definedName name="_xlnm.Print_Titles" localSheetId="1">MOST!$155:$155</definedName>
    <definedName name="vert" localSheetId="1">MOST!$A$1:$F$74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9" l="1"/>
  <c r="F45" i="9" s="1"/>
  <c r="D18" i="9" l="1"/>
  <c r="D17" i="9"/>
  <c r="D15" i="9"/>
  <c r="D38" i="9" l="1"/>
  <c r="D37" i="9"/>
  <c r="D34" i="9"/>
  <c r="D52" i="9"/>
  <c r="D32" i="9"/>
  <c r="F71" i="9"/>
  <c r="D58" i="9" l="1"/>
  <c r="D56" i="9"/>
  <c r="F56" i="9" s="1"/>
  <c r="F52" i="9"/>
  <c r="D28" i="9"/>
  <c r="D27" i="9"/>
  <c r="F27" i="9" s="1"/>
  <c r="D24" i="9"/>
  <c r="D23" i="9"/>
  <c r="F23" i="9" s="1"/>
  <c r="D21" i="9"/>
  <c r="F21" i="9" s="1"/>
  <c r="F18" i="9"/>
  <c r="F17" i="9"/>
  <c r="F15" i="9"/>
  <c r="D9" i="9"/>
  <c r="F9" i="9" s="1"/>
  <c r="D7" i="9"/>
  <c r="F7" i="9" s="1"/>
  <c r="F70" i="9"/>
  <c r="F72" i="9"/>
  <c r="F69" i="9"/>
  <c r="F66" i="9"/>
  <c r="F53" i="9"/>
  <c r="F54" i="9"/>
  <c r="F55" i="9"/>
  <c r="F6" i="9"/>
  <c r="F8" i="9"/>
  <c r="F10" i="9"/>
  <c r="F11" i="9"/>
  <c r="F12" i="9"/>
  <c r="F24" i="9"/>
  <c r="F26" i="9"/>
  <c r="F28" i="9"/>
  <c r="F37" i="9"/>
  <c r="F38" i="9"/>
  <c r="F42" i="9"/>
  <c r="F49" i="9"/>
  <c r="D36" i="9"/>
  <c r="F36" i="9" s="1"/>
  <c r="F34" i="9"/>
  <c r="D33" i="9"/>
  <c r="F33" i="9" s="1"/>
  <c r="F32" i="9"/>
  <c r="F50" i="9"/>
  <c r="F47" i="9"/>
  <c r="F48" i="9"/>
  <c r="F44" i="9"/>
  <c r="D20" i="9"/>
  <c r="F20" i="9" s="1"/>
  <c r="D64" i="9"/>
  <c r="F64" i="9" s="1"/>
  <c r="D41" i="9"/>
  <c r="F41" i="9" s="1"/>
  <c r="D40" i="9"/>
  <c r="F40" i="9" s="1"/>
  <c r="D16" i="9"/>
  <c r="F16" i="9" s="1"/>
  <c r="D63" i="9"/>
  <c r="F63" i="9" s="1"/>
  <c r="D67" i="9"/>
  <c r="F67" i="9" s="1"/>
  <c r="D29" i="9"/>
  <c r="F29" i="9" s="1"/>
  <c r="D57" i="9"/>
  <c r="F57" i="9" s="1"/>
  <c r="D59" i="9"/>
  <c r="F59" i="9" s="1"/>
  <c r="D61" i="9"/>
  <c r="F61" i="9" s="1"/>
  <c r="D60" i="9"/>
  <c r="F60" i="9" s="1"/>
  <c r="F58" i="9" l="1"/>
  <c r="D65" i="9"/>
  <c r="F65" i="9" s="1"/>
  <c r="D19" i="9"/>
  <c r="D22" i="9"/>
  <c r="F35" i="9"/>
  <c r="F5" i="9"/>
  <c r="F25" i="9"/>
  <c r="C18" i="2" l="1"/>
  <c r="F22" i="9" l="1"/>
  <c r="F19" i="9"/>
  <c r="F13" i="9" l="1"/>
  <c r="F62" i="9" l="1"/>
  <c r="F46" i="9"/>
  <c r="F39" i="9" l="1"/>
  <c r="F51" i="9"/>
  <c r="F43" i="9"/>
  <c r="F30" i="9"/>
  <c r="F73" i="9" l="1"/>
  <c r="F68" i="9" l="1"/>
  <c r="F74" i="9" s="1"/>
  <c r="F23" i="2" l="1"/>
  <c r="F24" i="2" s="1"/>
  <c r="A21" i="2" l="1"/>
  <c r="F25" i="2" l="1"/>
  <c r="F26" i="2" s="1"/>
</calcChain>
</file>

<file path=xl/sharedStrings.xml><?xml version="1.0" encoding="utf-8"?>
<sst xmlns="http://schemas.openxmlformats.org/spreadsheetml/2006/main" count="226" uniqueCount="175">
  <si>
    <t>PREDDELA</t>
  </si>
  <si>
    <t>kom</t>
  </si>
  <si>
    <t>ZEMELJSKA DELA</t>
  </si>
  <si>
    <t>m3</t>
  </si>
  <si>
    <t>kg</t>
  </si>
  <si>
    <t>m2</t>
  </si>
  <si>
    <t>m</t>
  </si>
  <si>
    <t>OSTALA DELA</t>
  </si>
  <si>
    <t>ur</t>
  </si>
  <si>
    <t>eur</t>
  </si>
  <si>
    <t>Zakoličba objekta in višinska navezava</t>
  </si>
  <si>
    <t>Posek odvečne grmovne zarasti z odstranitvijo na deponijo</t>
  </si>
  <si>
    <t>PROJEKTANTSKI POPIS DEL S PREDRAČUNOM</t>
  </si>
  <si>
    <t>Izdelava geodetskega posnetka izvedenih del in projekta izvedenih del (PID)</t>
  </si>
  <si>
    <t xml:space="preserve">Dobava in vgrajevanje podložnega betona C12/15 (beton kvalitete X0) </t>
  </si>
  <si>
    <t>Dobava in vgradnja betona za izvedbo robnih vencev (vrhnja površina venca je metličena, beton kvalitete C30/37, XD3, XF4, Cl 0,2, Dmax16, S4, PV-III)</t>
  </si>
  <si>
    <t>Dobava in vgradnja mostovnih rezanih granitnih robnikov 20/23 cm</t>
  </si>
  <si>
    <t>OBJEKT:</t>
  </si>
  <si>
    <t>PROVOG, inženirske storitve, d.o.o.</t>
  </si>
  <si>
    <t>Pernovo 4b, 3310 Žalec</t>
  </si>
  <si>
    <t>VODJA PROJEKTA:</t>
  </si>
  <si>
    <t>Uroš Vogrinc, univ.dipl.inž.grad. G-3810</t>
  </si>
  <si>
    <t>NAROČNIK:</t>
  </si>
  <si>
    <t>DATUM:</t>
  </si>
  <si>
    <t>22,00 % DDV na osnovo:</t>
  </si>
  <si>
    <t>SKUPAJ Z DDV:</t>
  </si>
  <si>
    <t>SPLOŠNE OPOMBE:
1. Količine posameznih postavk so prikazane v raščenem ali vgrajenem stanju. Posamezni koeficienti razrahljivosti morajo biti upoštevani v ceni za enoto mere (E.M.)</t>
  </si>
  <si>
    <t>Skupaj</t>
  </si>
  <si>
    <t>TESARSKA DELA</t>
  </si>
  <si>
    <t>Bočni opaž voziščne plošče z utori za armaturna sidra.</t>
  </si>
  <si>
    <t>Opaž robnih vencev na monolitni mostni konstrukciji z dodatki za vidni beton.</t>
  </si>
  <si>
    <t>m1</t>
  </si>
  <si>
    <t>Dobava in vgradnja trikotnih letvic v opažu za posnete robove kril, AB plošče in robnih vencev</t>
  </si>
  <si>
    <t>ŽELEZOKRIVSKA DELA</t>
  </si>
  <si>
    <t>DELA Z BETONOM</t>
  </si>
  <si>
    <t>Dobava in vgrajevanje rebraste armature B St 500 B za vse vrste konstrukcijskih elementov s premerom nad 12 mm</t>
  </si>
  <si>
    <t>Dobava in vgrajevanje rebraste armature B St 500 B za vse vrste konstrukcijskih elementov s premerom do 12 mm</t>
  </si>
  <si>
    <t>OPREMA OBJEKTA</t>
  </si>
  <si>
    <t>VOZIŠČNE KONSTRUKCIJE</t>
  </si>
  <si>
    <t>Dobava in polaganje bituminizirane plute za oblikovanje ležišča prehodnih plošč</t>
  </si>
  <si>
    <t xml:space="preserve">Hidroizolacija z bitumenskimi varilnimi trakovi deb. 5mm s poliestrskim filcem na predhodnem premazu z reakcijsko smolo in posipom s kremenčevim peskom, po smernicah TSC 07.                                                                  </t>
  </si>
  <si>
    <t xml:space="preserve">Fuge med robniki  in betonom hodnikov in med fasadnimi elementi hodnika in betonom  hodnikom. Zaliti je potrebno z zalivno maso za fuge - npr."Tiokit".                                       </t>
  </si>
  <si>
    <t>Robne fuge med robniki in asfaltom vozišča - npr."Tiokit".</t>
  </si>
  <si>
    <t>Dobava in montaža vroče cinkane jeklene varnostne ograje z vertikalnimi polnili po smernici TSC 07.103 višine 1,20m z vsem pritrdilnim materialom</t>
  </si>
  <si>
    <t>kos</t>
  </si>
  <si>
    <t>ARH. ŠT. PROJ.:</t>
  </si>
  <si>
    <t>PROJEKTANT:</t>
  </si>
  <si>
    <t>MOST</t>
  </si>
  <si>
    <t>A.</t>
  </si>
  <si>
    <t>količina</t>
  </si>
  <si>
    <t>Dobava in polaganje geotesktila 300g/m2</t>
  </si>
  <si>
    <t xml:space="preserve">A. MOST </t>
  </si>
  <si>
    <t>2. V popisu morajo biti v vseh postavkah vkalkulirana popolnoma vsa pripravljalna, pomožna in zaključna dela, ki pripadajo k posamezni postavki in so potrebna za nemoteno izvajanje del ter zaključek objekta.</t>
  </si>
  <si>
    <t>E.M.</t>
  </si>
  <si>
    <t>cena/E.M.</t>
  </si>
  <si>
    <t>cena skupaj</t>
  </si>
  <si>
    <t>A.1</t>
  </si>
  <si>
    <t>A.1.1</t>
  </si>
  <si>
    <t>Priprava in organizacija gradbišča z vsemi objekti, instalacijami in orodji,  zagotovitvijo varnostnih, higiensko tehničnih pogojev, predpisanih oznak gradbišča, ureditev dostopov, ureditev gradbiščnih provizorijev, premiki mehanizacije, vključno s končnim čiščenjem gradbišča po končanih delih in vzpostavitvijo prvotnega stanja na prizadetih površinah.</t>
  </si>
  <si>
    <t>A.1.2</t>
  </si>
  <si>
    <t>A.1.3</t>
  </si>
  <si>
    <t>A.1.4</t>
  </si>
  <si>
    <t>A.2</t>
  </si>
  <si>
    <t>Ureditev začasne preusmeritve potoka z nasipom iz priročnega materiala</t>
  </si>
  <si>
    <t>A.2.2</t>
  </si>
  <si>
    <t>A.2.3</t>
  </si>
  <si>
    <t>A.2.4</t>
  </si>
  <si>
    <t>Ozelenitev - zatravitev tangiranih površin</t>
  </si>
  <si>
    <t>A.3</t>
  </si>
  <si>
    <t>GRADBENA DELA</t>
  </si>
  <si>
    <t>A.3.2</t>
  </si>
  <si>
    <t>A.3.3</t>
  </si>
  <si>
    <t>Dobava in vgraditev stebrička za prometni znak iz vroče cinkane jeklene cevi s premerom 64 mm: L= 4000 mm, z vsemi potrebnimi deli.</t>
  </si>
  <si>
    <t>SKUPAJ MOST:</t>
  </si>
  <si>
    <t>Drobljenec TD63; dobava in vgradnja nosilne plasti v debelini 45cm iz drobljenca frakcije 0-63mm z utrjevanjem do modula stisljivosti ≥ 80 Mpa, vključno z izvedbo meritev zbitosti. Izravnava nasutja z natančnostjo ±3 cm.</t>
  </si>
  <si>
    <t>Rušenje obstoječega mostu in zidov vključno z rušenjem opornikov - s trajno odstranitvijo na deponijo</t>
  </si>
  <si>
    <t>A.3.1</t>
  </si>
  <si>
    <t>A.4</t>
  </si>
  <si>
    <t>A.4.1</t>
  </si>
  <si>
    <t>A.4.2</t>
  </si>
  <si>
    <t>A.4.3</t>
  </si>
  <si>
    <t>A.5</t>
  </si>
  <si>
    <t>A.5.1</t>
  </si>
  <si>
    <t>A.5.2</t>
  </si>
  <si>
    <t>A.5.3</t>
  </si>
  <si>
    <t>A.6</t>
  </si>
  <si>
    <t>A.6.1</t>
  </si>
  <si>
    <t>A.6.2</t>
  </si>
  <si>
    <t>A.6.3</t>
  </si>
  <si>
    <t>A.6.4</t>
  </si>
  <si>
    <t>A.6.5</t>
  </si>
  <si>
    <t>A.6.6</t>
  </si>
  <si>
    <t>Dobava in vgradnja betona za izvedbo mostnih opornikov (kvaliteta betona  C30/37, XD2, XF3, Dmax32, PV-II)</t>
  </si>
  <si>
    <t>Dobava in vgradnja betona za izvedbo prekladne konstrukcije (kvaliteta betona  C30/37, XD1, XF3, Dmax32, PV-II)</t>
  </si>
  <si>
    <t>Dobava in vgradnja betona za izvedbo kril (kvaliteta betona  C30/37, XD3, XF4, Dmax32, PV-III)</t>
  </si>
  <si>
    <t>A.8</t>
  </si>
  <si>
    <t>A.8.1</t>
  </si>
  <si>
    <t>A.9</t>
  </si>
  <si>
    <t>A.9.1</t>
  </si>
  <si>
    <t>A.9.3</t>
  </si>
  <si>
    <t>A.9.4</t>
  </si>
  <si>
    <t>A.3.4</t>
  </si>
  <si>
    <t>Dobava in vgradnja merilnih čepov na prekladni konstrukciji</t>
  </si>
  <si>
    <t xml:space="preserve">Izdelava elaborata začasne prometne ureditve med gradnjo ceste, s postavitvijo in vzdrževanjem prometne signalizacije za začasno ureditev prometa za celoten čas gradnje </t>
  </si>
  <si>
    <t>Izvedba zasipa ob opornikih na vodni strani za zavarovanje brežin v območju premostitve s priročnim gramoznim materialom vključno z utrjevanjem po plasteh</t>
  </si>
  <si>
    <t>A.2.1</t>
  </si>
  <si>
    <t>Opaženje obsega dobavo in vgraditev ustreznega materiala, postavitev, odstranitev, čiščenje in skladiščenje. Odri in opaži  morajo omogočiti vgraditev betona v izmerah po projektu. Načrte za odre in opaže z dokazom nosilnosti in stabilnosti si mora pridobiti izvajalec sam, glede na izbran opažni sistem.</t>
  </si>
  <si>
    <t>Dobava in vgrajevanje distančnega traka AVI, DS12 v prehodne plošče</t>
  </si>
  <si>
    <t>Zarez obstoječega asfalta v debelini do 10cm in struganje obrabnega sloja v širini 30cm na stikih z obstoječimi površinami</t>
  </si>
  <si>
    <t>Tampon 0-22; dobava in vgradnja izravnalno nosilne plasti v debelini 20cm iz drobljenca frakcije 0-22mm z utrjevanjem do modula stisljivosti ≥ 100 Mpa, vključno z izvedbo meritev zbitosti. Izravnava nasutja z natančnostjo ±1 cm.</t>
  </si>
  <si>
    <t>Izdelava voziščne obrabno zaporne plast iz AC 8 surf B50/70 A4 debeline 4cm</t>
  </si>
  <si>
    <t>A.2.5</t>
  </si>
  <si>
    <t>Nakladanje in odvoz viškov materiala na stalno deponijo do 10 km</t>
  </si>
  <si>
    <t xml:space="preserve">prekladna plošča </t>
  </si>
  <si>
    <t>robna venca</t>
  </si>
  <si>
    <t>Opaž za izvedbo AB temeljev, opornikov, prehodnih plošč in kril - dvostranski</t>
  </si>
  <si>
    <t>Dobava in vgradnja betona za izvedbo temeljev mostu in prehodnih plošč (kvaliteta betona  C25/30, XC2, XF2, Dmax32, PV-I)</t>
  </si>
  <si>
    <t>Ročni izkop za pripravo temeljnih tal za izdelavo zavarovanj, 2% ocena celotnih izkopov</t>
  </si>
  <si>
    <t>A.2.6</t>
  </si>
  <si>
    <t>Ročna zapolnitev stikov v kamnometu s humusom in zatravitev</t>
  </si>
  <si>
    <t>A.9.2</t>
  </si>
  <si>
    <t>Nadomestni most čez Dreto na LC 282051 Žlabor - Dobletina</t>
  </si>
  <si>
    <t>A.1.5</t>
  </si>
  <si>
    <t>A.1.6</t>
  </si>
  <si>
    <t>A.1.7</t>
  </si>
  <si>
    <t>Asfaltiranje mostu z dvoslojnim asfaltom, zasčitni sloj hidroizolacije AC 8 surf PmB 45/80 A3 v debelini 3cm in obrabno zaporni sloj asfaltbetona v debelini 4 cm, frakcije 0-8 mm (AC 8surf B50/70 A3)</t>
  </si>
  <si>
    <t>A.4.4</t>
  </si>
  <si>
    <t>A.4.5</t>
  </si>
  <si>
    <t>A.4.6</t>
  </si>
  <si>
    <t>A.4.7</t>
  </si>
  <si>
    <t>A.7</t>
  </si>
  <si>
    <t>A.7.1</t>
  </si>
  <si>
    <t>A.7.2</t>
  </si>
  <si>
    <t>A.7.3</t>
  </si>
  <si>
    <t>A.7.4</t>
  </si>
  <si>
    <t>A.7.5</t>
  </si>
  <si>
    <t>A.7.6</t>
  </si>
  <si>
    <t>A.7.7</t>
  </si>
  <si>
    <t>A.7.8</t>
  </si>
  <si>
    <t>A.2.7</t>
  </si>
  <si>
    <t>A.7.9</t>
  </si>
  <si>
    <t>A.7.10</t>
  </si>
  <si>
    <t>Dobava in montaža prometnih znakov novih - 1 x 2106 (prednost pred vozili iz nasprotne smeri) in 1 x 2105 (odvzem prednosti pred vozili iz napsrotne smeri)</t>
  </si>
  <si>
    <t>A.2.8</t>
  </si>
  <si>
    <t>Obbetoniranje obstoječega TK voda, skladno z detajlom iz grafične priloge</t>
  </si>
  <si>
    <t>A.8.2</t>
  </si>
  <si>
    <t>A.8.3</t>
  </si>
  <si>
    <t>A.8.4</t>
  </si>
  <si>
    <t>A.8.5</t>
  </si>
  <si>
    <t>Strojni izkop III.- IV.ktg. (70/30) z odlaganjem na lokaciji - izkop voziščne konstrukcije do območja navezave.</t>
  </si>
  <si>
    <t>Strojni izkop III.- IV.ktg. (70/30) z odlaganjem na lokaciji v mokrem za izgradnjo mostu</t>
  </si>
  <si>
    <t>Izdelava voziščne nosilne zaščitna plast iz AC 22 base B50/70 A4 debeline 6cm</t>
  </si>
  <si>
    <t>A.2.9</t>
  </si>
  <si>
    <t>A.2.10</t>
  </si>
  <si>
    <t>Opaž podložnega betona pod temelji, prehodnimi ploščami in za temeljem</t>
  </si>
  <si>
    <t>Dobava in vgrajevanje PVC DN110 mm za vodenje kablov</t>
  </si>
  <si>
    <t>A.9.5</t>
  </si>
  <si>
    <t>Odlov rib izvajalca ribiškega upravljanja</t>
  </si>
  <si>
    <t>Začasna prestavitev in zaščita komunalnih vodov na območju predvidene rekonstrukcije - po navodilih upravljalca (ocena)</t>
  </si>
  <si>
    <t>Nepredvidena dela 10% - obračun po dejanskih stroških</t>
  </si>
  <si>
    <t>Strojni izkop III.- IV.ktg. (70/30) z odlaganjem na lokaciji za izgradnjo mostu</t>
  </si>
  <si>
    <t>Zemeljska dela zajemajo tudi pripravo gradbene jame vključno z zagotovitvijo ustrezne odvodnje vode z nje (npr. črpanje), za celoten čas izvajanja tesarskih, železokrivskih in betonerskih del, kar je potrebno zajeti v cenah postavk zemeljskih del.</t>
  </si>
  <si>
    <t>PZI št. 021/33</t>
  </si>
  <si>
    <t>Občina Nazarje</t>
  </si>
  <si>
    <t>Savinjska cesta 4</t>
  </si>
  <si>
    <t>3331 Nazarje</t>
  </si>
  <si>
    <t>Doba in vgradnja kabelskega jaška globine 1.0 m, DN800mm z LTŽ pokrovom C250</t>
  </si>
  <si>
    <t xml:space="preserve">Dobava in vgradnja lomljenca Dsr=0,60-1,20m v betonu C20/25 (70/30) za zavarovanje pete in brežin (kamnita zložba v betonu), na levem in desnem bregu fuge poglobljene, humusirane in zatravljene. Vgradnja PVC DN100 izcednic 1kom/m'. </t>
  </si>
  <si>
    <t>Opaž spodnje površine voziščne plošče (nalega na nosilnem odru iz prejšnje postavke).</t>
  </si>
  <si>
    <t>Nosilni opažni oder iz jeklenih cevi za opaženje prekladne konstrukcije. Oder se izvede širši od mostne konstrukcije, da se zagotovi prostor za delo. V ceni zajeti vse ukrepe za ustrezno temeljenje konstrukcije odra in izdelava dokazil o nosilnosti le te.</t>
  </si>
  <si>
    <t>Dobava in vgrajevanje pustega betona C16/20 (beton kvalitete X0)  za izboljšavo temeljnih tal in zapolnitev izkopa za temelji</t>
  </si>
  <si>
    <t>A.6.7</t>
  </si>
  <si>
    <t>Izvedba zasipa za mostnimi oporniki in krili s prepustnim kamnitom materialom  vključno z utrjevanjem po plasteh in doseganjem projektne zbitosti Ev2=80MPa na planumu posteljice.</t>
  </si>
  <si>
    <r>
      <t xml:space="preserve">Geotehnični nadzor med gradnjo </t>
    </r>
    <r>
      <rPr>
        <sz val="11"/>
        <color rgb="FFFF0000"/>
        <rFont val="Calibri"/>
        <family val="2"/>
        <charset val="238"/>
      </rPr>
      <t>NE PONUJATI, ZAGOTOVI NAROČNIK</t>
    </r>
  </si>
  <si>
    <r>
      <t xml:space="preserve">Projektantski nadzor </t>
    </r>
    <r>
      <rPr>
        <sz val="11"/>
        <color rgb="FFFF0000"/>
        <rFont val="Calibri"/>
        <family val="2"/>
        <charset val="238"/>
      </rPr>
      <t>NE PONUJATI,  ZAGOTOVI NAROČNIK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</si>
</sst>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&quot;SIT&quot;_-;\-* #,##0.00\ &quot;SIT&quot;_-;_-* &quot;-&quot;??\ &quot;SIT&quot;_-;_-@_-"/>
  </numFmts>
  <fonts count="3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color rgb="FF00B050"/>
      <name val="Calibri"/>
      <family val="2"/>
    </font>
    <font>
      <sz val="14"/>
      <name val="Calibri"/>
      <family val="2"/>
    </font>
    <font>
      <sz val="9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</font>
    <font>
      <sz val="8"/>
      <color theme="1"/>
      <name val="Calibri"/>
      <family val="2"/>
    </font>
    <font>
      <sz val="14"/>
      <color theme="1"/>
      <name val="Calibri"/>
      <family val="2"/>
    </font>
    <font>
      <sz val="9"/>
      <color theme="1"/>
      <name val="Calibri"/>
      <family val="2"/>
    </font>
    <font>
      <u/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rgb="FF00B050"/>
      <name val="Calibri"/>
      <family val="2"/>
    </font>
    <font>
      <sz val="11"/>
      <color theme="1"/>
      <name val="Calibri"/>
      <family val="2"/>
      <charset val="238"/>
    </font>
    <font>
      <sz val="10"/>
      <color theme="1"/>
      <name val="Arial CE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14" fillId="0" borderId="0"/>
    <xf numFmtId="0" fontId="15" fillId="0" borderId="0"/>
    <xf numFmtId="165" fontId="15" fillId="0" borderId="0" applyFont="0" applyFill="0" applyBorder="0" applyAlignment="0" applyProtection="0"/>
  </cellStyleXfs>
  <cellXfs count="119">
    <xf numFmtId="0" fontId="0" fillId="0" borderId="0" xfId="0"/>
    <xf numFmtId="0" fontId="5" fillId="0" borderId="0" xfId="2"/>
    <xf numFmtId="0" fontId="7" fillId="0" borderId="4" xfId="2" applyFont="1" applyBorder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8" fillId="0" borderId="5" xfId="2" applyFont="1" applyBorder="1" applyAlignment="1">
      <alignment horizontal="center" vertical="top" wrapText="1"/>
    </xf>
    <xf numFmtId="0" fontId="7" fillId="0" borderId="6" xfId="2" applyFont="1" applyBorder="1" applyAlignment="1">
      <alignment horizontal="left" vertical="top"/>
    </xf>
    <xf numFmtId="0" fontId="8" fillId="0" borderId="7" xfId="2" applyFont="1" applyBorder="1" applyAlignment="1">
      <alignment horizontal="center" vertical="top" wrapText="1"/>
    </xf>
    <xf numFmtId="0" fontId="8" fillId="0" borderId="8" xfId="2" applyFont="1" applyBorder="1" applyAlignment="1">
      <alignment horizontal="center" vertical="top" wrapText="1"/>
    </xf>
    <xf numFmtId="0" fontId="7" fillId="0" borderId="4" xfId="2" applyFont="1" applyBorder="1" applyAlignment="1">
      <alignment horizontal="left" vertical="top"/>
    </xf>
    <xf numFmtId="0" fontId="8" fillId="0" borderId="1" xfId="2" applyFont="1" applyBorder="1" applyAlignment="1">
      <alignment horizontal="center" vertical="top" wrapText="1"/>
    </xf>
    <xf numFmtId="0" fontId="8" fillId="0" borderId="10" xfId="2" applyFont="1" applyBorder="1" applyAlignment="1">
      <alignment horizontal="center" vertical="top" wrapText="1"/>
    </xf>
    <xf numFmtId="0" fontId="7" fillId="0" borderId="11" xfId="2" applyFont="1" applyBorder="1" applyAlignment="1">
      <alignment horizontal="center" vertical="top" wrapText="1"/>
    </xf>
    <xf numFmtId="0" fontId="8" fillId="0" borderId="12" xfId="2" applyFont="1" applyBorder="1" applyAlignment="1">
      <alignment horizontal="center" vertical="top" wrapText="1"/>
    </xf>
    <xf numFmtId="0" fontId="8" fillId="0" borderId="6" xfId="2" applyFont="1" applyBorder="1" applyAlignment="1">
      <alignment horizontal="left" vertical="top"/>
    </xf>
    <xf numFmtId="0" fontId="8" fillId="0" borderId="4" xfId="2" applyFont="1" applyBorder="1" applyAlignment="1">
      <alignment horizontal="left" vertical="top"/>
    </xf>
    <xf numFmtId="0" fontId="7" fillId="0" borderId="9" xfId="2" applyFont="1" applyBorder="1" applyAlignment="1">
      <alignment horizontal="left" vertical="top"/>
    </xf>
    <xf numFmtId="0" fontId="8" fillId="0" borderId="9" xfId="2" applyFont="1" applyBorder="1" applyAlignment="1">
      <alignment horizontal="left" vertical="top"/>
    </xf>
    <xf numFmtId="0" fontId="8" fillId="0" borderId="7" xfId="2" applyFont="1" applyBorder="1" applyAlignment="1">
      <alignment horizontal="left" vertical="top"/>
    </xf>
    <xf numFmtId="0" fontId="10" fillId="0" borderId="11" xfId="2" applyFont="1" applyBorder="1" applyAlignment="1">
      <alignment horizontal="center" vertical="top" wrapText="1"/>
    </xf>
    <xf numFmtId="0" fontId="11" fillId="0" borderId="12" xfId="2" applyFont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1" fillId="0" borderId="10" xfId="2" applyFont="1" applyBorder="1" applyAlignment="1">
      <alignment horizontal="center" vertical="top" wrapText="1"/>
    </xf>
    <xf numFmtId="0" fontId="10" fillId="0" borderId="6" xfId="2" applyFont="1" applyBorder="1" applyAlignment="1">
      <alignment horizontal="left" vertical="top" wrapText="1"/>
    </xf>
    <xf numFmtId="0" fontId="10" fillId="0" borderId="7" xfId="2" applyFont="1" applyBorder="1" applyAlignment="1">
      <alignment horizontal="left" vertical="top" wrapText="1"/>
    </xf>
    <xf numFmtId="17" fontId="11" fillId="0" borderId="7" xfId="2" applyNumberFormat="1" applyFont="1" applyBorder="1" applyAlignment="1">
      <alignment horizontal="left" vertical="top" wrapText="1"/>
    </xf>
    <xf numFmtId="0" fontId="11" fillId="0" borderId="7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 wrapText="1"/>
    </xf>
    <xf numFmtId="0" fontId="10" fillId="0" borderId="6" xfId="2" applyFont="1" applyBorder="1" applyAlignment="1">
      <alignment horizontal="center" vertical="top" wrapText="1"/>
    </xf>
    <xf numFmtId="0" fontId="11" fillId="0" borderId="7" xfId="2" applyFont="1" applyBorder="1" applyAlignment="1">
      <alignment horizontal="center" vertical="top" wrapText="1"/>
    </xf>
    <xf numFmtId="0" fontId="11" fillId="0" borderId="8" xfId="2" applyFont="1" applyBorder="1" applyAlignment="1">
      <alignment horizontal="center" vertical="top" wrapText="1"/>
    </xf>
    <xf numFmtId="0" fontId="12" fillId="0" borderId="6" xfId="2" applyFont="1" applyBorder="1" applyAlignment="1">
      <alignment horizontal="center" vertical="top" wrapText="1"/>
    </xf>
    <xf numFmtId="0" fontId="4" fillId="0" borderId="7" xfId="2" applyFont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top" wrapText="1"/>
    </xf>
    <xf numFmtId="0" fontId="12" fillId="2" borderId="11" xfId="2" applyFont="1" applyFill="1" applyBorder="1" applyAlignment="1">
      <alignment horizontal="left" vertical="top"/>
    </xf>
    <xf numFmtId="0" fontId="4" fillId="2" borderId="12" xfId="2" applyFont="1" applyFill="1" applyBorder="1" applyAlignment="1">
      <alignment horizontal="center" vertical="top" wrapText="1"/>
    </xf>
    <xf numFmtId="0" fontId="4" fillId="2" borderId="14" xfId="2" applyFont="1" applyFill="1" applyBorder="1" applyAlignment="1">
      <alignment horizontal="center" vertical="top" wrapText="1"/>
    </xf>
    <xf numFmtId="164" fontId="4" fillId="2" borderId="2" xfId="2" applyNumberFormat="1" applyFont="1" applyFill="1" applyBorder="1" applyAlignment="1">
      <alignment horizontal="right" vertical="top" wrapText="1"/>
    </xf>
    <xf numFmtId="164" fontId="12" fillId="2" borderId="8" xfId="2" applyNumberFormat="1" applyFont="1" applyFill="1" applyBorder="1" applyAlignment="1">
      <alignment horizontal="right" vertical="top" wrapText="1"/>
    </xf>
    <xf numFmtId="0" fontId="12" fillId="3" borderId="11" xfId="2" applyFont="1" applyFill="1" applyBorder="1" applyAlignment="1">
      <alignment horizontal="left" vertical="top"/>
    </xf>
    <xf numFmtId="0" fontId="4" fillId="3" borderId="12" xfId="2" applyFont="1" applyFill="1" applyBorder="1" applyAlignment="1">
      <alignment horizontal="center" vertical="top" wrapText="1"/>
    </xf>
    <xf numFmtId="164" fontId="12" fillId="3" borderId="2" xfId="2" applyNumberFormat="1" applyFont="1" applyFill="1" applyBorder="1" applyAlignment="1">
      <alignment horizontal="right" vertical="top" wrapText="1"/>
    </xf>
    <xf numFmtId="0" fontId="7" fillId="0" borderId="0" xfId="2" applyFont="1"/>
    <xf numFmtId="0" fontId="13" fillId="0" borderId="0" xfId="2" applyFont="1"/>
    <xf numFmtId="0" fontId="12" fillId="2" borderId="11" xfId="2" applyFont="1" applyFill="1" applyBorder="1" applyAlignment="1">
      <alignment horizontal="left" vertical="top" wrapText="1"/>
    </xf>
    <xf numFmtId="0" fontId="12" fillId="2" borderId="12" xfId="2" applyFont="1" applyFill="1" applyBorder="1" applyAlignment="1">
      <alignment horizontal="left" vertical="top"/>
    </xf>
    <xf numFmtId="4" fontId="4" fillId="0" borderId="8" xfId="2" applyNumberFormat="1" applyFont="1" applyBorder="1" applyAlignment="1">
      <alignment horizontal="right" vertical="top" wrapText="1"/>
    </xf>
    <xf numFmtId="0" fontId="4" fillId="0" borderId="7" xfId="2" applyFont="1" applyBorder="1" applyAlignment="1">
      <alignment horizontal="left" vertical="top" wrapText="1"/>
    </xf>
    <xf numFmtId="0" fontId="16" fillId="0" borderId="0" xfId="3" applyFont="1"/>
    <xf numFmtId="0" fontId="19" fillId="0" borderId="0" xfId="3" applyFont="1"/>
    <xf numFmtId="0" fontId="18" fillId="0" borderId="0" xfId="3" applyFont="1" applyAlignment="1">
      <alignment horizontal="justify" vertical="top" wrapText="1"/>
    </xf>
    <xf numFmtId="0" fontId="18" fillId="0" borderId="0" xfId="3" applyFont="1"/>
    <xf numFmtId="4" fontId="18" fillId="0" borderId="0" xfId="3" applyNumberFormat="1" applyFont="1"/>
    <xf numFmtId="0" fontId="20" fillId="0" borderId="0" xfId="3" applyFont="1"/>
    <xf numFmtId="0" fontId="18" fillId="0" borderId="0" xfId="3" applyFont="1" applyAlignment="1">
      <alignment horizontal="center"/>
    </xf>
    <xf numFmtId="0" fontId="17" fillId="0" borderId="0" xfId="3" applyFont="1"/>
    <xf numFmtId="0" fontId="22" fillId="0" borderId="0" xfId="3" applyFont="1"/>
    <xf numFmtId="0" fontId="23" fillId="0" borderId="0" xfId="3" applyFont="1"/>
    <xf numFmtId="0" fontId="21" fillId="0" borderId="0" xfId="3" applyFont="1"/>
    <xf numFmtId="0" fontId="24" fillId="0" borderId="0" xfId="3" applyFont="1"/>
    <xf numFmtId="4" fontId="25" fillId="0" borderId="0" xfId="3" applyNumberFormat="1" applyFont="1"/>
    <xf numFmtId="0" fontId="25" fillId="0" borderId="0" xfId="3" applyFont="1"/>
    <xf numFmtId="0" fontId="26" fillId="2" borderId="11" xfId="3" applyFont="1" applyFill="1" applyBorder="1" applyAlignment="1">
      <alignment horizontal="justify" vertical="justify"/>
    </xf>
    <xf numFmtId="0" fontId="27" fillId="2" borderId="12" xfId="3" applyFont="1" applyFill="1" applyBorder="1" applyAlignment="1">
      <alignment horizontal="justify" vertical="top"/>
    </xf>
    <xf numFmtId="0" fontId="24" fillId="2" borderId="12" xfId="3" applyFont="1" applyFill="1" applyBorder="1"/>
    <xf numFmtId="4" fontId="24" fillId="2" borderId="12" xfId="3" applyNumberFormat="1" applyFont="1" applyFill="1" applyBorder="1"/>
    <xf numFmtId="4" fontId="24" fillId="2" borderId="14" xfId="3" applyNumberFormat="1" applyFont="1" applyFill="1" applyBorder="1"/>
    <xf numFmtId="0" fontId="25" fillId="0" borderId="6" xfId="3" applyFont="1" applyBorder="1" applyAlignment="1">
      <alignment horizontal="center"/>
    </xf>
    <xf numFmtId="0" fontId="25" fillId="0" borderId="7" xfId="3" applyFont="1" applyBorder="1" applyAlignment="1">
      <alignment horizontal="justify" vertical="top" wrapText="1"/>
    </xf>
    <xf numFmtId="0" fontId="25" fillId="0" borderId="7" xfId="3" applyFont="1" applyBorder="1"/>
    <xf numFmtId="4" fontId="25" fillId="0" borderId="7" xfId="3" applyNumberFormat="1" applyFont="1" applyBorder="1"/>
    <xf numFmtId="4" fontId="25" fillId="0" borderId="8" xfId="3" applyNumberFormat="1" applyFont="1" applyBorder="1"/>
    <xf numFmtId="0" fontId="25" fillId="0" borderId="4" xfId="3" applyFont="1" applyBorder="1" applyAlignment="1">
      <alignment horizontal="center"/>
    </xf>
    <xf numFmtId="0" fontId="25" fillId="0" borderId="0" xfId="3" applyFont="1" applyAlignment="1">
      <alignment horizontal="justify" vertical="top" wrapText="1"/>
    </xf>
    <xf numFmtId="4" fontId="25" fillId="0" borderId="5" xfId="3" applyNumberFormat="1" applyFont="1" applyBorder="1"/>
    <xf numFmtId="0" fontId="28" fillId="0" borderId="11" xfId="3" applyFont="1" applyBorder="1" applyAlignment="1">
      <alignment horizontal="center" vertical="top"/>
    </xf>
    <xf numFmtId="0" fontId="28" fillId="0" borderId="12" xfId="3" applyFont="1" applyBorder="1" applyAlignment="1">
      <alignment horizontal="justify" vertical="top" wrapText="1"/>
    </xf>
    <xf numFmtId="0" fontId="28" fillId="0" borderId="12" xfId="3" applyFont="1" applyBorder="1" applyAlignment="1">
      <alignment horizontal="center" wrapText="1"/>
    </xf>
    <xf numFmtId="4" fontId="28" fillId="0" borderId="12" xfId="3" applyNumberFormat="1" applyFont="1" applyBorder="1" applyAlignment="1">
      <alignment horizontal="right" wrapText="1"/>
    </xf>
    <xf numFmtId="4" fontId="28" fillId="0" borderId="14" xfId="3" applyNumberFormat="1" applyFont="1" applyBorder="1" applyAlignment="1">
      <alignment horizontal="right" wrapText="1"/>
    </xf>
    <xf numFmtId="16" fontId="21" fillId="2" borderId="11" xfId="3" quotePrefix="1" applyNumberFormat="1" applyFont="1" applyFill="1" applyBorder="1" applyAlignment="1">
      <alignment horizontal="center" vertical="top"/>
    </xf>
    <xf numFmtId="0" fontId="29" fillId="2" borderId="12" xfId="3" applyFont="1" applyFill="1" applyBorder="1" applyAlignment="1">
      <alignment horizontal="justify" vertical="top" wrapText="1"/>
    </xf>
    <xf numFmtId="0" fontId="21" fillId="2" borderId="12" xfId="3" applyFont="1" applyFill="1" applyBorder="1" applyAlignment="1">
      <alignment horizontal="center" wrapText="1"/>
    </xf>
    <xf numFmtId="4" fontId="21" fillId="2" borderId="12" xfId="3" applyNumberFormat="1" applyFont="1" applyFill="1" applyBorder="1" applyAlignment="1">
      <alignment wrapText="1"/>
    </xf>
    <xf numFmtId="4" fontId="21" fillId="2" borderId="14" xfId="3" applyNumberFormat="1" applyFont="1" applyFill="1" applyBorder="1" applyAlignment="1">
      <alignment wrapText="1"/>
    </xf>
    <xf numFmtId="0" fontId="21" fillId="0" borderId="15" xfId="3" quotePrefix="1" applyFont="1" applyBorder="1" applyAlignment="1">
      <alignment horizontal="center" vertical="top"/>
    </xf>
    <xf numFmtId="0" fontId="21" fillId="0" borderId="2" xfId="3" applyFont="1" applyBorder="1" applyAlignment="1">
      <alignment horizontal="justify" vertical="top" wrapText="1"/>
    </xf>
    <xf numFmtId="0" fontId="21" fillId="0" borderId="2" xfId="3" applyFont="1" applyBorder="1" applyAlignment="1">
      <alignment horizontal="center" wrapText="1"/>
    </xf>
    <xf numFmtId="4" fontId="21" fillId="0" borderId="2" xfId="3" applyNumberFormat="1" applyFont="1" applyBorder="1" applyAlignment="1">
      <alignment horizontal="right"/>
    </xf>
    <xf numFmtId="4" fontId="21" fillId="0" borderId="2" xfId="3" applyNumberFormat="1" applyFont="1" applyBorder="1" applyAlignment="1">
      <alignment horizontal="right" wrapText="1"/>
    </xf>
    <xf numFmtId="4" fontId="29" fillId="4" borderId="11" xfId="3" applyNumberFormat="1" applyFont="1" applyFill="1" applyBorder="1" applyAlignment="1">
      <alignment horizontal="left" vertical="top" wrapText="1"/>
    </xf>
    <xf numFmtId="4" fontId="29" fillId="4" borderId="12" xfId="3" applyNumberFormat="1" applyFont="1" applyFill="1" applyBorder="1" applyAlignment="1">
      <alignment horizontal="left" vertical="top" wrapText="1"/>
    </xf>
    <xf numFmtId="4" fontId="21" fillId="4" borderId="12" xfId="3" applyNumberFormat="1" applyFont="1" applyFill="1" applyBorder="1" applyAlignment="1">
      <alignment horizontal="left" vertical="top"/>
    </xf>
    <xf numFmtId="4" fontId="29" fillId="4" borderId="14" xfId="3" applyNumberFormat="1" applyFont="1" applyFill="1" applyBorder="1" applyAlignment="1">
      <alignment horizontal="right" vertical="top" wrapText="1"/>
    </xf>
    <xf numFmtId="4" fontId="23" fillId="0" borderId="0" xfId="3" applyNumberFormat="1" applyFont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1" fillId="0" borderId="2" xfId="3" applyFont="1" applyBorder="1" applyAlignment="1">
      <alignment horizontal="left" vertical="top" wrapText="1"/>
    </xf>
    <xf numFmtId="0" fontId="30" fillId="0" borderId="0" xfId="3" applyFont="1"/>
    <xf numFmtId="0" fontId="21" fillId="0" borderId="2" xfId="3" applyFont="1" applyBorder="1" applyAlignment="1">
      <alignment horizontal="justify" vertical="top"/>
    </xf>
    <xf numFmtId="0" fontId="31" fillId="0" borderId="2" xfId="3" applyFont="1" applyBorder="1" applyAlignment="1">
      <alignment horizontal="justify" vertical="top" wrapText="1"/>
    </xf>
    <xf numFmtId="0" fontId="32" fillId="0" borderId="2" xfId="3" applyFont="1" applyBorder="1" applyAlignment="1">
      <alignment horizontal="center" wrapText="1"/>
    </xf>
    <xf numFmtId="4" fontId="31" fillId="0" borderId="2" xfId="3" applyNumberFormat="1" applyFont="1" applyBorder="1" applyAlignment="1">
      <alignment horizontal="right"/>
    </xf>
    <xf numFmtId="4" fontId="31" fillId="0" borderId="2" xfId="3" applyNumberFormat="1" applyFont="1" applyBorder="1" applyAlignment="1">
      <alignment horizontal="right" wrapText="1"/>
    </xf>
    <xf numFmtId="4" fontId="21" fillId="0" borderId="2" xfId="3" applyNumberFormat="1" applyFont="1" applyBorder="1" applyAlignment="1">
      <alignment horizontal="right" vertical="top"/>
    </xf>
    <xf numFmtId="0" fontId="23" fillId="0" borderId="0" xfId="3" applyFont="1" applyAlignment="1">
      <alignment horizontal="left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top" wrapText="1"/>
    </xf>
    <xf numFmtId="17" fontId="4" fillId="0" borderId="2" xfId="2" quotePrefix="1" applyNumberFormat="1" applyFont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12" fillId="3" borderId="13" xfId="2" applyFont="1" applyFill="1" applyBorder="1" applyAlignment="1">
      <alignment horizontal="center" vertical="top" wrapText="1"/>
    </xf>
    <xf numFmtId="0" fontId="12" fillId="3" borderId="13" xfId="2" applyFont="1" applyFill="1" applyBorder="1" applyAlignment="1">
      <alignment horizontal="center"/>
    </xf>
    <xf numFmtId="0" fontId="9" fillId="0" borderId="6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top" wrapText="1"/>
    </xf>
    <xf numFmtId="0" fontId="9" fillId="0" borderId="8" xfId="2" applyFont="1" applyBorder="1" applyAlignment="1">
      <alignment horizontal="left" vertical="top" wrapText="1"/>
    </xf>
    <xf numFmtId="0" fontId="9" fillId="0" borderId="9" xfId="2" applyFont="1" applyBorder="1" applyAlignment="1">
      <alignment horizontal="left" vertical="top" wrapText="1"/>
    </xf>
    <xf numFmtId="0" fontId="9" fillId="0" borderId="1" xfId="2" applyFont="1" applyBorder="1" applyAlignment="1">
      <alignment horizontal="left" vertical="top" wrapText="1"/>
    </xf>
    <xf numFmtId="0" fontId="9" fillId="0" borderId="10" xfId="2" applyFont="1" applyBorder="1" applyAlignment="1">
      <alignment horizontal="left" vertical="top" wrapText="1"/>
    </xf>
    <xf numFmtId="4" fontId="34" fillId="0" borderId="2" xfId="3" applyNumberFormat="1" applyFont="1" applyBorder="1" applyAlignment="1">
      <alignment horizontal="right" wrapText="1"/>
    </xf>
  </cellXfs>
  <cellStyles count="6">
    <cellStyle name="Navadno" xfId="0" builtinId="0"/>
    <cellStyle name="Navadno 2" xfId="2" xr:uid="{F566ED5D-163D-4985-8B02-A2141BAB865C}"/>
    <cellStyle name="Navadno 2 2" xfId="3" xr:uid="{D25270D1-C21A-4146-A713-31E66FEF529F}"/>
    <cellStyle name="Navadno 3" xfId="4" xr:uid="{4B263D36-1137-4E15-9FC6-3AB6DCBBEFF3}"/>
    <cellStyle name="Normal 2" xfId="1" xr:uid="{00000000-0005-0000-0000-000001000000}"/>
    <cellStyle name="Valuta 2" xfId="5" xr:uid="{11153DF9-67F3-4BAB-846E-D24487DB0EE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CDCDC"/>
      <rgbColor rgb="00808080"/>
      <rgbColor rgb="00696969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6DC35-4CDD-4E10-BF7A-BCEB1BAEFB18}">
  <dimension ref="A1:F26"/>
  <sheetViews>
    <sheetView view="pageBreakPreview" zoomScaleNormal="100" zoomScaleSheetLayoutView="100" workbookViewId="0">
      <selection activeCell="E17" sqref="E16:E17"/>
    </sheetView>
  </sheetViews>
  <sheetFormatPr defaultColWidth="8.7109375" defaultRowHeight="15.75" x14ac:dyDescent="0.25"/>
  <cols>
    <col min="1" max="1" width="12.140625" style="41" customWidth="1"/>
    <col min="2" max="2" width="20.42578125" style="42" customWidth="1"/>
    <col min="3" max="5" width="8.7109375" style="42"/>
    <col min="6" max="6" width="38.42578125" style="42" customWidth="1"/>
    <col min="7" max="16384" width="8.7109375" style="1"/>
  </cols>
  <sheetData>
    <row r="1" spans="1:6" ht="14.45" customHeight="1" x14ac:dyDescent="0.25">
      <c r="A1" s="105" t="s">
        <v>12</v>
      </c>
      <c r="B1" s="105"/>
      <c r="C1" s="105"/>
      <c r="D1" s="105"/>
      <c r="E1" s="105"/>
      <c r="F1" s="105"/>
    </row>
    <row r="2" spans="1:6" ht="14.45" customHeight="1" x14ac:dyDescent="0.25">
      <c r="A2" s="105"/>
      <c r="B2" s="105"/>
      <c r="C2" s="105"/>
      <c r="D2" s="105"/>
      <c r="E2" s="105"/>
      <c r="F2" s="105"/>
    </row>
    <row r="3" spans="1:6" ht="15" customHeight="1" thickBot="1" x14ac:dyDescent="0.3">
      <c r="A3" s="106"/>
      <c r="B3" s="106"/>
      <c r="C3" s="106"/>
      <c r="D3" s="106"/>
      <c r="E3" s="106"/>
      <c r="F3" s="106"/>
    </row>
    <row r="4" spans="1:6" x14ac:dyDescent="0.25">
      <c r="A4" s="2"/>
      <c r="B4" s="3"/>
      <c r="C4" s="3"/>
      <c r="D4" s="3"/>
      <c r="E4" s="3"/>
      <c r="F4" s="4"/>
    </row>
    <row r="5" spans="1:6" ht="18.75" customHeight="1" x14ac:dyDescent="0.25">
      <c r="A5" s="5" t="s">
        <v>17</v>
      </c>
      <c r="B5" s="6"/>
      <c r="C5" s="112" t="s">
        <v>121</v>
      </c>
      <c r="D5" s="113"/>
      <c r="E5" s="113"/>
      <c r="F5" s="114"/>
    </row>
    <row r="6" spans="1:6" ht="18.75" customHeight="1" x14ac:dyDescent="0.25">
      <c r="A6" s="8"/>
      <c r="B6" s="3"/>
      <c r="C6" s="115"/>
      <c r="D6" s="116"/>
      <c r="E6" s="116"/>
      <c r="F6" s="117"/>
    </row>
    <row r="7" spans="1:6" x14ac:dyDescent="0.25">
      <c r="A7" s="11"/>
      <c r="B7" s="12"/>
      <c r="C7" s="6"/>
      <c r="D7" s="6"/>
      <c r="E7" s="6"/>
      <c r="F7" s="7"/>
    </row>
    <row r="8" spans="1:6" x14ac:dyDescent="0.25">
      <c r="A8" s="5" t="s">
        <v>45</v>
      </c>
      <c r="B8" s="6"/>
      <c r="C8" s="13" t="s">
        <v>162</v>
      </c>
      <c r="D8" s="6"/>
      <c r="E8" s="6"/>
      <c r="F8" s="7"/>
    </row>
    <row r="9" spans="1:6" x14ac:dyDescent="0.25">
      <c r="A9" s="5" t="s">
        <v>46</v>
      </c>
      <c r="B9" s="3"/>
      <c r="C9" s="14" t="s">
        <v>18</v>
      </c>
      <c r="D9" s="3"/>
      <c r="E9" s="3"/>
      <c r="F9" s="4"/>
    </row>
    <row r="10" spans="1:6" x14ac:dyDescent="0.25">
      <c r="A10" s="15"/>
      <c r="B10" s="9"/>
      <c r="C10" s="16" t="s">
        <v>19</v>
      </c>
      <c r="D10" s="9"/>
      <c r="E10" s="9"/>
      <c r="F10" s="10"/>
    </row>
    <row r="11" spans="1:6" x14ac:dyDescent="0.25">
      <c r="A11" s="11"/>
      <c r="B11" s="12"/>
      <c r="C11" s="9"/>
      <c r="D11" s="9"/>
      <c r="E11" s="9"/>
      <c r="F11" s="10"/>
    </row>
    <row r="12" spans="1:6" x14ac:dyDescent="0.25">
      <c r="A12" s="5" t="s">
        <v>20</v>
      </c>
      <c r="B12" s="7"/>
      <c r="C12" s="17" t="s">
        <v>21</v>
      </c>
      <c r="D12" s="6"/>
      <c r="E12" s="6"/>
      <c r="F12" s="7"/>
    </row>
    <row r="13" spans="1:6" x14ac:dyDescent="0.25">
      <c r="A13" s="11"/>
      <c r="B13" s="12"/>
      <c r="C13" s="6"/>
      <c r="D13" s="6"/>
      <c r="E13" s="6"/>
      <c r="F13" s="7"/>
    </row>
    <row r="14" spans="1:6" x14ac:dyDescent="0.25">
      <c r="A14" s="5" t="s">
        <v>22</v>
      </c>
      <c r="B14" s="6"/>
      <c r="C14" s="13" t="s">
        <v>163</v>
      </c>
      <c r="D14" s="6"/>
      <c r="E14" s="6"/>
      <c r="F14" s="7"/>
    </row>
    <row r="15" spans="1:6" x14ac:dyDescent="0.25">
      <c r="A15" s="8"/>
      <c r="B15" s="3"/>
      <c r="C15" s="14" t="s">
        <v>164</v>
      </c>
      <c r="D15" s="3"/>
      <c r="E15" s="3"/>
      <c r="F15" s="4"/>
    </row>
    <row r="16" spans="1:6" x14ac:dyDescent="0.25">
      <c r="A16" s="8"/>
      <c r="B16" s="3"/>
      <c r="C16" s="16" t="s">
        <v>165</v>
      </c>
      <c r="D16" s="9"/>
      <c r="E16" s="9"/>
      <c r="F16" s="10"/>
    </row>
    <row r="17" spans="1:6" ht="15" x14ac:dyDescent="0.25">
      <c r="A17" s="18"/>
      <c r="B17" s="19"/>
      <c r="C17" s="20"/>
      <c r="D17" s="20"/>
      <c r="E17" s="20"/>
      <c r="F17" s="21"/>
    </row>
    <row r="18" spans="1:6" ht="14.45" customHeight="1" x14ac:dyDescent="0.25">
      <c r="A18" s="107" t="s">
        <v>23</v>
      </c>
      <c r="B18" s="107"/>
      <c r="C18" s="108" t="str">
        <f>"november 2022"</f>
        <v>november 2022</v>
      </c>
      <c r="D18" s="109"/>
      <c r="E18" s="109"/>
      <c r="F18" s="109"/>
    </row>
    <row r="19" spans="1:6" ht="15" x14ac:dyDescent="0.25">
      <c r="A19" s="22"/>
      <c r="B19" s="23"/>
      <c r="C19" s="24"/>
      <c r="D19" s="25"/>
      <c r="E19" s="25"/>
      <c r="F19" s="26"/>
    </row>
    <row r="20" spans="1:6" thickBot="1" x14ac:dyDescent="0.3">
      <c r="A20" s="27"/>
      <c r="B20" s="28"/>
      <c r="C20" s="28"/>
      <c r="D20" s="28"/>
      <c r="E20" s="28"/>
      <c r="F20" s="29"/>
    </row>
    <row r="21" spans="1:6" ht="14.45" customHeight="1" x14ac:dyDescent="0.25">
      <c r="A21" s="110" t="str">
        <f>"SKUPNA REKAPITULACIJA: "&amp;C5</f>
        <v>SKUPNA REKAPITULACIJA: Nadomestni most čez Dreto na LC 282051 Žlabor - Dobletina</v>
      </c>
      <c r="B21" s="110"/>
      <c r="C21" s="110"/>
      <c r="D21" s="111"/>
      <c r="E21" s="111"/>
      <c r="F21" s="111"/>
    </row>
    <row r="22" spans="1:6" ht="15" x14ac:dyDescent="0.25">
      <c r="A22" s="30"/>
      <c r="B22" s="31"/>
      <c r="C22" s="31"/>
      <c r="D22" s="31"/>
      <c r="E22" s="31"/>
      <c r="F22" s="32"/>
    </row>
    <row r="23" spans="1:6" ht="15" x14ac:dyDescent="0.25">
      <c r="A23" s="30" t="s">
        <v>48</v>
      </c>
      <c r="B23" s="46" t="s">
        <v>47</v>
      </c>
      <c r="C23" s="46"/>
      <c r="D23" s="46"/>
      <c r="E23" s="46"/>
      <c r="F23" s="45">
        <f>MOST!F74</f>
        <v>0</v>
      </c>
    </row>
    <row r="24" spans="1:6" ht="15.95" customHeight="1" x14ac:dyDescent="0.25">
      <c r="A24" s="43" t="s">
        <v>27</v>
      </c>
      <c r="B24" s="44"/>
      <c r="C24" s="34"/>
      <c r="D24" s="34"/>
      <c r="E24" s="35"/>
      <c r="F24" s="36">
        <f>SUM(F23:F23)</f>
        <v>0</v>
      </c>
    </row>
    <row r="25" spans="1:6" ht="15" x14ac:dyDescent="0.25">
      <c r="A25" s="33" t="s">
        <v>24</v>
      </c>
      <c r="B25" s="34"/>
      <c r="C25" s="34"/>
      <c r="D25" s="34"/>
      <c r="E25" s="35"/>
      <c r="F25" s="37">
        <f>F24*0.22</f>
        <v>0</v>
      </c>
    </row>
    <row r="26" spans="1:6" ht="15" x14ac:dyDescent="0.25">
      <c r="A26" s="38" t="s">
        <v>25</v>
      </c>
      <c r="B26" s="39"/>
      <c r="C26" s="39"/>
      <c r="D26" s="39"/>
      <c r="E26" s="39"/>
      <c r="F26" s="40">
        <f>F24+F25</f>
        <v>0</v>
      </c>
    </row>
  </sheetData>
  <mergeCells count="5">
    <mergeCell ref="A1:F3"/>
    <mergeCell ref="A18:B18"/>
    <mergeCell ref="C18:F18"/>
    <mergeCell ref="A21:F21"/>
    <mergeCell ref="C5:F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C74F-5D9A-468D-990A-038749C3F4A1}">
  <sheetPr>
    <tabColor theme="1" tint="0.34998626667073579"/>
  </sheetPr>
  <dimension ref="A1:V157"/>
  <sheetViews>
    <sheetView tabSelected="1" view="pageBreakPreview" topLeftCell="A55" zoomScale="115" zoomScaleNormal="100" zoomScaleSheetLayoutView="115" workbookViewId="0">
      <selection activeCell="F7" sqref="F7"/>
    </sheetView>
  </sheetViews>
  <sheetFormatPr defaultColWidth="9.140625" defaultRowHeight="12" x14ac:dyDescent="0.2"/>
  <cols>
    <col min="1" max="1" width="6" style="53" bestFit="1" customWidth="1"/>
    <col min="2" max="2" width="66.42578125" style="49" customWidth="1"/>
    <col min="3" max="3" width="5.28515625" style="50" customWidth="1"/>
    <col min="4" max="4" width="10.140625" style="51" customWidth="1"/>
    <col min="5" max="5" width="11.42578125" style="51" customWidth="1"/>
    <col min="6" max="6" width="12" style="51" customWidth="1"/>
    <col min="7" max="8" width="9.140625" style="50"/>
    <col min="9" max="9" width="32.7109375" style="60" customWidth="1"/>
    <col min="10" max="19" width="9.140625" style="50"/>
    <col min="20" max="20" width="9.140625" style="50" customWidth="1"/>
    <col min="21" max="22" width="9.140625" style="50" hidden="1" customWidth="1"/>
    <col min="23" max="16384" width="9.140625" style="50"/>
  </cols>
  <sheetData>
    <row r="1" spans="1:10" s="55" customFormat="1" ht="23.25" x14ac:dyDescent="0.35">
      <c r="A1" s="61"/>
      <c r="B1" s="62" t="s">
        <v>51</v>
      </c>
      <c r="C1" s="63"/>
      <c r="D1" s="64"/>
      <c r="E1" s="64"/>
      <c r="F1" s="65"/>
    </row>
    <row r="2" spans="1:10" s="56" customFormat="1" ht="48" x14ac:dyDescent="0.2">
      <c r="A2" s="66"/>
      <c r="B2" s="67" t="s">
        <v>26</v>
      </c>
      <c r="C2" s="68"/>
      <c r="D2" s="69"/>
      <c r="E2" s="69"/>
      <c r="F2" s="70"/>
    </row>
    <row r="3" spans="1:10" s="56" customFormat="1" ht="36" x14ac:dyDescent="0.2">
      <c r="A3" s="71"/>
      <c r="B3" s="72" t="s">
        <v>52</v>
      </c>
      <c r="C3" s="60"/>
      <c r="D3" s="59"/>
      <c r="E3" s="59"/>
      <c r="F3" s="73"/>
    </row>
    <row r="4" spans="1:10" s="56" customFormat="1" x14ac:dyDescent="0.2">
      <c r="A4" s="74"/>
      <c r="B4" s="75"/>
      <c r="C4" s="76" t="s">
        <v>53</v>
      </c>
      <c r="D4" s="77" t="s">
        <v>49</v>
      </c>
      <c r="E4" s="77" t="s">
        <v>54</v>
      </c>
      <c r="F4" s="78" t="s">
        <v>55</v>
      </c>
    </row>
    <row r="5" spans="1:10" s="52" customFormat="1" ht="15" x14ac:dyDescent="0.25">
      <c r="A5" s="79" t="s">
        <v>56</v>
      </c>
      <c r="B5" s="80" t="s">
        <v>0</v>
      </c>
      <c r="C5" s="81"/>
      <c r="D5" s="82"/>
      <c r="E5" s="82"/>
      <c r="F5" s="83">
        <f>SUM(F6:F12)</f>
        <v>0</v>
      </c>
      <c r="G5" s="57"/>
      <c r="H5" s="57"/>
      <c r="I5" s="57"/>
      <c r="J5" s="57"/>
    </row>
    <row r="6" spans="1:10" s="48" customFormat="1" ht="90" x14ac:dyDescent="0.25">
      <c r="A6" s="84" t="s">
        <v>57</v>
      </c>
      <c r="B6" s="85" t="s">
        <v>58</v>
      </c>
      <c r="C6" s="86" t="s">
        <v>44</v>
      </c>
      <c r="D6" s="87">
        <v>1</v>
      </c>
      <c r="E6" s="88"/>
      <c r="F6" s="88">
        <f t="shared" ref="F6:F11" si="0">ROUND(D6*E6,2)</f>
        <v>0</v>
      </c>
      <c r="G6" s="56"/>
      <c r="H6" s="56"/>
      <c r="I6" s="56"/>
      <c r="J6" s="56"/>
    </row>
    <row r="7" spans="1:10" s="48" customFormat="1" ht="15" x14ac:dyDescent="0.25">
      <c r="A7" s="84" t="s">
        <v>59</v>
      </c>
      <c r="B7" s="85" t="s">
        <v>11</v>
      </c>
      <c r="C7" s="86" t="s">
        <v>5</v>
      </c>
      <c r="D7" s="87">
        <f>125*2</f>
        <v>250</v>
      </c>
      <c r="E7" s="88"/>
      <c r="F7" s="88">
        <f t="shared" si="0"/>
        <v>0</v>
      </c>
      <c r="G7" s="56"/>
      <c r="H7" s="56"/>
      <c r="I7" s="56"/>
      <c r="J7" s="56"/>
    </row>
    <row r="8" spans="1:10" s="47" customFormat="1" ht="30" x14ac:dyDescent="0.25">
      <c r="A8" s="84" t="s">
        <v>60</v>
      </c>
      <c r="B8" s="85" t="s">
        <v>158</v>
      </c>
      <c r="C8" s="86" t="s">
        <v>44</v>
      </c>
      <c r="D8" s="87">
        <v>2</v>
      </c>
      <c r="E8" s="88"/>
      <c r="F8" s="88">
        <f t="shared" si="0"/>
        <v>0</v>
      </c>
      <c r="G8" s="56"/>
      <c r="H8" s="56"/>
      <c r="I8" s="56"/>
      <c r="J8" s="56"/>
    </row>
    <row r="9" spans="1:10" s="47" customFormat="1" ht="30" x14ac:dyDescent="0.25">
      <c r="A9" s="84" t="s">
        <v>61</v>
      </c>
      <c r="B9" s="99" t="s">
        <v>108</v>
      </c>
      <c r="C9" s="100" t="s">
        <v>31</v>
      </c>
      <c r="D9" s="101">
        <f>4.1+3+3.2</f>
        <v>10.3</v>
      </c>
      <c r="E9" s="102"/>
      <c r="F9" s="88">
        <f t="shared" si="0"/>
        <v>0</v>
      </c>
      <c r="H9" s="56"/>
      <c r="I9" s="56"/>
      <c r="J9" s="56"/>
    </row>
    <row r="10" spans="1:10" s="48" customFormat="1" ht="45" x14ac:dyDescent="0.25">
      <c r="A10" s="84" t="s">
        <v>122</v>
      </c>
      <c r="B10" s="94" t="s">
        <v>103</v>
      </c>
      <c r="C10" s="95" t="s">
        <v>1</v>
      </c>
      <c r="D10" s="87">
        <v>1</v>
      </c>
      <c r="E10" s="88"/>
      <c r="F10" s="88">
        <f t="shared" si="0"/>
        <v>0</v>
      </c>
      <c r="G10" s="56"/>
      <c r="H10" s="56"/>
      <c r="I10" s="56"/>
      <c r="J10" s="56"/>
    </row>
    <row r="11" spans="1:10" s="56" customFormat="1" ht="30" x14ac:dyDescent="0.25">
      <c r="A11" s="84" t="s">
        <v>123</v>
      </c>
      <c r="B11" s="96" t="s">
        <v>75</v>
      </c>
      <c r="C11" s="86" t="s">
        <v>1</v>
      </c>
      <c r="D11" s="87">
        <v>1</v>
      </c>
      <c r="E11" s="88"/>
      <c r="F11" s="88">
        <f t="shared" si="0"/>
        <v>0</v>
      </c>
    </row>
    <row r="12" spans="1:10" s="56" customFormat="1" ht="15" x14ac:dyDescent="0.25">
      <c r="A12" s="84" t="s">
        <v>124</v>
      </c>
      <c r="B12" s="85" t="s">
        <v>10</v>
      </c>
      <c r="C12" s="86" t="s">
        <v>8</v>
      </c>
      <c r="D12" s="87">
        <v>8</v>
      </c>
      <c r="E12" s="88"/>
      <c r="F12" s="88">
        <f t="shared" ref="F12:F23" si="1">ROUND(D12*E12,2)</f>
        <v>0</v>
      </c>
    </row>
    <row r="13" spans="1:10" s="57" customFormat="1" ht="15" x14ac:dyDescent="0.25">
      <c r="A13" s="79" t="s">
        <v>62</v>
      </c>
      <c r="B13" s="80" t="s">
        <v>2</v>
      </c>
      <c r="C13" s="81"/>
      <c r="D13" s="82"/>
      <c r="E13" s="82"/>
      <c r="F13" s="83">
        <f>SUM(F15:F24)</f>
        <v>0</v>
      </c>
    </row>
    <row r="14" spans="1:10" s="48" customFormat="1" ht="60" x14ac:dyDescent="0.25">
      <c r="A14" s="84" t="s">
        <v>62</v>
      </c>
      <c r="B14" s="85" t="s">
        <v>161</v>
      </c>
      <c r="C14" s="86"/>
      <c r="D14" s="87"/>
      <c r="E14" s="88"/>
      <c r="F14" s="88"/>
      <c r="G14" s="56"/>
      <c r="H14" s="56"/>
      <c r="I14" s="56"/>
      <c r="J14" s="56"/>
    </row>
    <row r="15" spans="1:10" s="57" customFormat="1" ht="15" x14ac:dyDescent="0.25">
      <c r="A15" s="84" t="s">
        <v>105</v>
      </c>
      <c r="B15" s="85" t="s">
        <v>63</v>
      </c>
      <c r="C15" s="86" t="s">
        <v>3</v>
      </c>
      <c r="D15" s="87">
        <f>32*2*1+
2*2</f>
        <v>68</v>
      </c>
      <c r="E15" s="88"/>
      <c r="F15" s="88">
        <f t="shared" si="1"/>
        <v>0</v>
      </c>
    </row>
    <row r="16" spans="1:10" s="57" customFormat="1" ht="30" x14ac:dyDescent="0.25">
      <c r="A16" s="84" t="s">
        <v>64</v>
      </c>
      <c r="B16" s="85" t="s">
        <v>149</v>
      </c>
      <c r="C16" s="86" t="s">
        <v>3</v>
      </c>
      <c r="D16" s="87">
        <f>D66*0.71</f>
        <v>127.8</v>
      </c>
      <c r="E16" s="88"/>
      <c r="F16" s="88">
        <f t="shared" si="1"/>
        <v>0</v>
      </c>
    </row>
    <row r="17" spans="1:10" s="52" customFormat="1" ht="17.100000000000001" customHeight="1" x14ac:dyDescent="0.25">
      <c r="A17" s="84" t="s">
        <v>65</v>
      </c>
      <c r="B17" s="85" t="s">
        <v>160</v>
      </c>
      <c r="C17" s="86" t="s">
        <v>3</v>
      </c>
      <c r="D17" s="87">
        <f>(32.1+26.7)*(6.43+3+3)*0.8</f>
        <v>584.70719999999994</v>
      </c>
      <c r="E17" s="88"/>
      <c r="F17" s="88">
        <f t="shared" si="1"/>
        <v>0</v>
      </c>
      <c r="G17" s="57"/>
      <c r="H17" s="57"/>
      <c r="I17" s="57"/>
      <c r="J17" s="57"/>
    </row>
    <row r="18" spans="1:10" s="52" customFormat="1" ht="30" x14ac:dyDescent="0.25">
      <c r="A18" s="84" t="s">
        <v>66</v>
      </c>
      <c r="B18" s="85" t="s">
        <v>150</v>
      </c>
      <c r="C18" s="86" t="s">
        <v>3</v>
      </c>
      <c r="D18" s="87">
        <f>(32.1+26.7)*(6.43+3+3)*0.2</f>
        <v>146.17679999999999</v>
      </c>
      <c r="E18" s="88"/>
      <c r="F18" s="88">
        <f t="shared" si="1"/>
        <v>0</v>
      </c>
      <c r="G18" s="57"/>
      <c r="H18" s="57"/>
      <c r="I18" s="57"/>
      <c r="J18" s="57"/>
    </row>
    <row r="19" spans="1:10" s="97" customFormat="1" ht="15" x14ac:dyDescent="0.25">
      <c r="A19" s="84" t="s">
        <v>111</v>
      </c>
      <c r="B19" s="85" t="s">
        <v>112</v>
      </c>
      <c r="C19" s="86" t="s">
        <v>3</v>
      </c>
      <c r="D19" s="87">
        <f>D17+D18+D16</f>
        <v>858.68399999999986</v>
      </c>
      <c r="E19" s="88"/>
      <c r="F19" s="88">
        <f t="shared" si="1"/>
        <v>0</v>
      </c>
      <c r="G19" s="57"/>
      <c r="H19" s="57"/>
      <c r="I19" s="57"/>
      <c r="J19" s="57"/>
    </row>
    <row r="20" spans="1:10" s="97" customFormat="1" ht="15" x14ac:dyDescent="0.25">
      <c r="A20" s="84" t="s">
        <v>118</v>
      </c>
      <c r="B20" s="85" t="s">
        <v>50</v>
      </c>
      <c r="C20" s="86" t="s">
        <v>5</v>
      </c>
      <c r="D20" s="87">
        <f>D66*1.1</f>
        <v>198.00000000000003</v>
      </c>
      <c r="E20" s="88"/>
      <c r="F20" s="88">
        <f t="shared" si="1"/>
        <v>0</v>
      </c>
      <c r="G20" s="57"/>
      <c r="H20" s="57"/>
      <c r="I20" s="57"/>
      <c r="J20" s="57"/>
    </row>
    <row r="21" spans="1:10" s="48" customFormat="1" ht="45" x14ac:dyDescent="0.25">
      <c r="A21" s="84" t="s">
        <v>139</v>
      </c>
      <c r="B21" s="85" t="s">
        <v>172</v>
      </c>
      <c r="C21" s="86" t="s">
        <v>3</v>
      </c>
      <c r="D21" s="87">
        <f>(16.3+14.4)*(6.43+1+1)</f>
        <v>258.80099999999999</v>
      </c>
      <c r="E21" s="88"/>
      <c r="F21" s="88">
        <f t="shared" si="1"/>
        <v>0</v>
      </c>
      <c r="G21" s="56"/>
      <c r="H21" s="56"/>
      <c r="I21" s="57"/>
      <c r="J21" s="56"/>
    </row>
    <row r="22" spans="1:10" s="48" customFormat="1" ht="30" x14ac:dyDescent="0.25">
      <c r="A22" s="84" t="s">
        <v>143</v>
      </c>
      <c r="B22" s="85" t="s">
        <v>117</v>
      </c>
      <c r="C22" s="86" t="s">
        <v>3</v>
      </c>
      <c r="D22" s="87">
        <f>(D17+D18+D16)*0.02</f>
        <v>17.173679999999997</v>
      </c>
      <c r="E22" s="88"/>
      <c r="F22" s="88">
        <f t="shared" si="1"/>
        <v>0</v>
      </c>
      <c r="G22" s="56"/>
      <c r="H22" s="56"/>
      <c r="I22" s="57"/>
      <c r="J22" s="56"/>
    </row>
    <row r="23" spans="1:10" s="48" customFormat="1" ht="45" x14ac:dyDescent="0.25">
      <c r="A23" s="84" t="s">
        <v>152</v>
      </c>
      <c r="B23" s="85" t="s">
        <v>104</v>
      </c>
      <c r="C23" s="86" t="s">
        <v>3</v>
      </c>
      <c r="D23" s="87">
        <f>(2.3+3)*(6.43+1+1)</f>
        <v>44.678999999999995</v>
      </c>
      <c r="E23" s="88"/>
      <c r="F23" s="88">
        <f t="shared" si="1"/>
        <v>0</v>
      </c>
      <c r="G23" s="56"/>
      <c r="H23" s="56"/>
      <c r="I23" s="57"/>
      <c r="J23" s="56"/>
    </row>
    <row r="24" spans="1:10" s="48" customFormat="1" ht="15" x14ac:dyDescent="0.25">
      <c r="A24" s="84" t="s">
        <v>153</v>
      </c>
      <c r="B24" s="85" t="s">
        <v>67</v>
      </c>
      <c r="C24" s="86" t="s">
        <v>5</v>
      </c>
      <c r="D24" s="87">
        <f>(15+7)*1*2+
(21.5*3*2)</f>
        <v>173</v>
      </c>
      <c r="E24" s="88"/>
      <c r="F24" s="88">
        <f t="shared" ref="F24:F28" si="2">ROUND(D24*E24,2)</f>
        <v>0</v>
      </c>
      <c r="G24" s="56"/>
      <c r="H24" s="56"/>
      <c r="I24" s="57"/>
      <c r="J24" s="56"/>
    </row>
    <row r="25" spans="1:10" s="48" customFormat="1" ht="15" x14ac:dyDescent="0.25">
      <c r="A25" s="79" t="s">
        <v>68</v>
      </c>
      <c r="B25" s="80" t="s">
        <v>69</v>
      </c>
      <c r="C25" s="81"/>
      <c r="D25" s="82"/>
      <c r="E25" s="82"/>
      <c r="F25" s="83">
        <f>SUM(F26:F29)</f>
        <v>0</v>
      </c>
      <c r="G25" s="56"/>
      <c r="H25" s="56"/>
      <c r="I25" s="57"/>
      <c r="J25" s="56"/>
    </row>
    <row r="26" spans="1:10" s="48" customFormat="1" ht="30" x14ac:dyDescent="0.25">
      <c r="A26" s="84" t="s">
        <v>76</v>
      </c>
      <c r="B26" s="85" t="s">
        <v>166</v>
      </c>
      <c r="C26" s="86" t="s">
        <v>1</v>
      </c>
      <c r="D26" s="87">
        <v>2</v>
      </c>
      <c r="E26" s="88"/>
      <c r="F26" s="88">
        <f t="shared" si="2"/>
        <v>0</v>
      </c>
      <c r="G26" s="56"/>
      <c r="H26" s="56"/>
      <c r="I26" s="57"/>
      <c r="J26" s="56"/>
    </row>
    <row r="27" spans="1:10" s="48" customFormat="1" ht="60" x14ac:dyDescent="0.25">
      <c r="A27" s="84" t="s">
        <v>70</v>
      </c>
      <c r="B27" s="85" t="s">
        <v>167</v>
      </c>
      <c r="C27" s="86" t="s">
        <v>3</v>
      </c>
      <c r="D27" s="87">
        <f>(1.75+3)*21.5*2</f>
        <v>204.25</v>
      </c>
      <c r="E27" s="88"/>
      <c r="F27" s="88">
        <f t="shared" si="2"/>
        <v>0</v>
      </c>
      <c r="G27" s="56"/>
      <c r="H27" s="56"/>
      <c r="I27" s="57"/>
      <c r="J27" s="56"/>
    </row>
    <row r="28" spans="1:10" s="48" customFormat="1" ht="15" x14ac:dyDescent="0.25">
      <c r="A28" s="84" t="s">
        <v>71</v>
      </c>
      <c r="B28" s="85" t="s">
        <v>119</v>
      </c>
      <c r="C28" s="86" t="s">
        <v>5</v>
      </c>
      <c r="D28" s="87">
        <f>3.75*(21.5+5)+(4.75*16.5)</f>
        <v>177.75</v>
      </c>
      <c r="E28" s="88"/>
      <c r="F28" s="88">
        <f t="shared" si="2"/>
        <v>0</v>
      </c>
      <c r="G28" s="56"/>
      <c r="H28" s="56"/>
      <c r="I28" s="57"/>
      <c r="J28" s="56"/>
    </row>
    <row r="29" spans="1:10" s="48" customFormat="1" ht="30" x14ac:dyDescent="0.25">
      <c r="A29" s="84" t="s">
        <v>101</v>
      </c>
      <c r="B29" s="85" t="s">
        <v>144</v>
      </c>
      <c r="C29" s="86" t="s">
        <v>31</v>
      </c>
      <c r="D29" s="87">
        <f>8.5+6.5</f>
        <v>15</v>
      </c>
      <c r="E29" s="88"/>
      <c r="F29" s="88">
        <f t="shared" ref="F29:F37" si="3">ROUND(D29*E29,2)</f>
        <v>0</v>
      </c>
      <c r="G29" s="56"/>
      <c r="H29" s="56"/>
      <c r="I29" s="57"/>
      <c r="J29" s="56"/>
    </row>
    <row r="30" spans="1:10" s="48" customFormat="1" ht="15" x14ac:dyDescent="0.25">
      <c r="A30" s="79" t="s">
        <v>77</v>
      </c>
      <c r="B30" s="80" t="s">
        <v>28</v>
      </c>
      <c r="C30" s="81"/>
      <c r="D30" s="82"/>
      <c r="E30" s="82"/>
      <c r="F30" s="83">
        <f>SUM(F31:F38)</f>
        <v>0</v>
      </c>
      <c r="G30" s="56"/>
      <c r="H30" s="56"/>
      <c r="I30" s="56"/>
      <c r="J30" s="56"/>
    </row>
    <row r="31" spans="1:10" s="48" customFormat="1" ht="75" x14ac:dyDescent="0.25">
      <c r="A31" s="84" t="s">
        <v>77</v>
      </c>
      <c r="B31" s="85" t="s">
        <v>106</v>
      </c>
      <c r="C31" s="86"/>
      <c r="D31" s="87"/>
      <c r="E31" s="88"/>
      <c r="F31" s="88"/>
      <c r="G31" s="56"/>
      <c r="H31" s="56"/>
      <c r="I31" s="56"/>
      <c r="J31" s="56"/>
    </row>
    <row r="32" spans="1:10" s="48" customFormat="1" ht="30" x14ac:dyDescent="0.25">
      <c r="A32" s="84" t="s">
        <v>78</v>
      </c>
      <c r="B32" s="85" t="s">
        <v>154</v>
      </c>
      <c r="C32" s="86" t="s">
        <v>5</v>
      </c>
      <c r="D32" s="87">
        <f>19.3*0.15*2+
15.47*0.1*2+
2.3*2*6.23</f>
        <v>37.542000000000002</v>
      </c>
      <c r="E32" s="88"/>
      <c r="F32" s="88">
        <f t="shared" si="3"/>
        <v>0</v>
      </c>
      <c r="G32" s="56"/>
      <c r="H32" s="56"/>
      <c r="I32" s="57"/>
      <c r="J32" s="56"/>
    </row>
    <row r="33" spans="1:22" s="48" customFormat="1" ht="30" x14ac:dyDescent="0.25">
      <c r="A33" s="84" t="s">
        <v>79</v>
      </c>
      <c r="B33" s="85" t="s">
        <v>115</v>
      </c>
      <c r="C33" s="86" t="s">
        <v>5</v>
      </c>
      <c r="D33" s="87">
        <f>3.1*4+(0.8+1)*6.23*2+
4.35*4+(4.37+4.35)*6.23*2+
1.06*4+(0.25*4.02*2)+
11.06*4+10.87*4+(3.1+2.7)*0.4*2</f>
        <v>259.48919999999998</v>
      </c>
      <c r="E33" s="88"/>
      <c r="F33" s="88">
        <f t="shared" si="3"/>
        <v>0</v>
      </c>
      <c r="G33" s="56"/>
      <c r="H33" s="56"/>
      <c r="I33" s="57"/>
      <c r="J33" s="56"/>
    </row>
    <row r="34" spans="1:22" s="48" customFormat="1" ht="60" x14ac:dyDescent="0.25">
      <c r="A34" s="84" t="s">
        <v>80</v>
      </c>
      <c r="B34" s="85" t="s">
        <v>169</v>
      </c>
      <c r="C34" s="86" t="s">
        <v>5</v>
      </c>
      <c r="D34" s="87">
        <f>117.7+(1*20.3*2)</f>
        <v>158.30000000000001</v>
      </c>
      <c r="E34" s="88"/>
      <c r="F34" s="88">
        <f t="shared" si="3"/>
        <v>0</v>
      </c>
      <c r="G34" s="56"/>
      <c r="H34" s="56"/>
      <c r="I34" s="56"/>
      <c r="J34" s="56"/>
    </row>
    <row r="35" spans="1:22" s="48" customFormat="1" ht="30" x14ac:dyDescent="0.25">
      <c r="A35" s="84" t="s">
        <v>126</v>
      </c>
      <c r="B35" s="85" t="s">
        <v>168</v>
      </c>
      <c r="C35" s="86" t="s">
        <v>5</v>
      </c>
      <c r="D35" s="87">
        <v>126</v>
      </c>
      <c r="E35" s="88"/>
      <c r="F35" s="88">
        <f t="shared" si="3"/>
        <v>0</v>
      </c>
      <c r="G35" s="56"/>
      <c r="H35" s="56"/>
      <c r="I35" s="56"/>
      <c r="J35" s="56"/>
    </row>
    <row r="36" spans="1:22" s="48" customFormat="1" ht="15" x14ac:dyDescent="0.25">
      <c r="A36" s="84" t="s">
        <v>127</v>
      </c>
      <c r="B36" s="85" t="s">
        <v>29</v>
      </c>
      <c r="C36" s="86" t="s">
        <v>5</v>
      </c>
      <c r="D36" s="87">
        <f>17.77*2</f>
        <v>35.54</v>
      </c>
      <c r="E36" s="88"/>
      <c r="F36" s="88">
        <f t="shared" si="3"/>
        <v>0</v>
      </c>
      <c r="G36" s="56"/>
      <c r="H36" s="56"/>
      <c r="I36" s="56"/>
      <c r="J36" s="56"/>
    </row>
    <row r="37" spans="1:22" s="48" customFormat="1" ht="30" x14ac:dyDescent="0.25">
      <c r="A37" s="84" t="s">
        <v>128</v>
      </c>
      <c r="B37" s="85" t="s">
        <v>30</v>
      </c>
      <c r="C37" s="86" t="s">
        <v>5</v>
      </c>
      <c r="D37" s="87">
        <f>0.97*24.71*2</f>
        <v>47.937400000000004</v>
      </c>
      <c r="E37" s="88"/>
      <c r="F37" s="88">
        <f t="shared" si="3"/>
        <v>0</v>
      </c>
      <c r="G37" s="56"/>
      <c r="H37" s="56"/>
      <c r="I37" s="56"/>
      <c r="J37" s="56"/>
    </row>
    <row r="38" spans="1:22" s="48" customFormat="1" ht="30" x14ac:dyDescent="0.25">
      <c r="A38" s="84" t="s">
        <v>129</v>
      </c>
      <c r="B38" s="85" t="s">
        <v>32</v>
      </c>
      <c r="C38" s="86" t="s">
        <v>31</v>
      </c>
      <c r="D38" s="87">
        <f>(3+3)*24.71+
2*20.3+
3.5*2*4+
2.72*2*2+3.1*2*2</f>
        <v>240.14</v>
      </c>
      <c r="E38" s="88"/>
      <c r="F38" s="88">
        <f t="shared" ref="F38:F72" si="4">ROUND(D38*E38,2)</f>
        <v>0</v>
      </c>
      <c r="G38" s="56"/>
      <c r="H38" s="56"/>
      <c r="I38" s="56"/>
      <c r="J38" s="56"/>
    </row>
    <row r="39" spans="1:22" s="48" customFormat="1" ht="15" x14ac:dyDescent="0.25">
      <c r="A39" s="79" t="s">
        <v>81</v>
      </c>
      <c r="B39" s="80" t="s">
        <v>33</v>
      </c>
      <c r="C39" s="81"/>
      <c r="D39" s="82"/>
      <c r="E39" s="82"/>
      <c r="F39" s="83">
        <f>SUM(F40:F42)</f>
        <v>0</v>
      </c>
      <c r="G39" s="56"/>
      <c r="H39" s="56"/>
      <c r="I39" s="56"/>
      <c r="J39" s="56"/>
      <c r="V39" s="48" t="s">
        <v>113</v>
      </c>
    </row>
    <row r="40" spans="1:22" s="47" customFormat="1" ht="30" x14ac:dyDescent="0.25">
      <c r="A40" s="84" t="s">
        <v>82</v>
      </c>
      <c r="B40" s="98" t="s">
        <v>36</v>
      </c>
      <c r="C40" s="86" t="s">
        <v>4</v>
      </c>
      <c r="D40" s="103">
        <f>446.63+122.17+122.17+696.04+1511.43+704.94</f>
        <v>3603.3799999999997</v>
      </c>
      <c r="E40" s="88"/>
      <c r="F40" s="88">
        <f t="shared" si="4"/>
        <v>0</v>
      </c>
      <c r="G40" s="56"/>
      <c r="H40" s="56"/>
      <c r="I40" s="56"/>
      <c r="J40" s="56"/>
      <c r="V40" s="47" t="s">
        <v>114</v>
      </c>
    </row>
    <row r="41" spans="1:22" s="47" customFormat="1" ht="30" x14ac:dyDescent="0.25">
      <c r="A41" s="84" t="s">
        <v>83</v>
      </c>
      <c r="B41" s="98" t="s">
        <v>35</v>
      </c>
      <c r="C41" s="86" t="s">
        <v>4</v>
      </c>
      <c r="D41" s="103">
        <f>4478.44+4889.75+4888.92+16172.98+941.47</f>
        <v>31371.559999999998</v>
      </c>
      <c r="E41" s="88"/>
      <c r="F41" s="88">
        <f t="shared" si="4"/>
        <v>0</v>
      </c>
      <c r="G41" s="56"/>
      <c r="H41" s="56"/>
      <c r="I41" s="56"/>
      <c r="J41" s="56"/>
    </row>
    <row r="42" spans="1:22" s="48" customFormat="1" ht="18.600000000000001" customHeight="1" x14ac:dyDescent="0.25">
      <c r="A42" s="84" t="s">
        <v>84</v>
      </c>
      <c r="B42" s="98" t="s">
        <v>107</v>
      </c>
      <c r="C42" s="86" t="s">
        <v>4</v>
      </c>
      <c r="D42" s="103">
        <v>20.76</v>
      </c>
      <c r="E42" s="88"/>
      <c r="F42" s="88">
        <f t="shared" si="4"/>
        <v>0</v>
      </c>
      <c r="G42" s="56"/>
      <c r="H42" s="56"/>
      <c r="I42" s="56"/>
      <c r="J42" s="56"/>
    </row>
    <row r="43" spans="1:22" s="48" customFormat="1" ht="15" x14ac:dyDescent="0.25">
      <c r="A43" s="79" t="s">
        <v>85</v>
      </c>
      <c r="B43" s="80" t="s">
        <v>34</v>
      </c>
      <c r="C43" s="81"/>
      <c r="D43" s="82"/>
      <c r="E43" s="82"/>
      <c r="F43" s="83">
        <f>SUM(F44:F50)</f>
        <v>0</v>
      </c>
      <c r="G43" s="56"/>
      <c r="H43" s="56"/>
      <c r="I43" s="56"/>
      <c r="J43" s="56"/>
    </row>
    <row r="44" spans="1:22" s="48" customFormat="1" ht="15" x14ac:dyDescent="0.25">
      <c r="A44" s="84" t="s">
        <v>86</v>
      </c>
      <c r="B44" s="85" t="s">
        <v>14</v>
      </c>
      <c r="C44" s="86" t="s">
        <v>3</v>
      </c>
      <c r="D44" s="87">
        <v>9.5</v>
      </c>
      <c r="E44" s="88"/>
      <c r="F44" s="88">
        <f t="shared" si="4"/>
        <v>0</v>
      </c>
      <c r="G44" s="56"/>
      <c r="H44" s="56"/>
      <c r="I44" s="56"/>
      <c r="J44" s="56"/>
    </row>
    <row r="45" spans="1:22" s="48" customFormat="1" ht="30" x14ac:dyDescent="0.25">
      <c r="A45" s="84" t="s">
        <v>87</v>
      </c>
      <c r="B45" s="85" t="s">
        <v>170</v>
      </c>
      <c r="C45" s="86" t="s">
        <v>3</v>
      </c>
      <c r="D45" s="87">
        <f>2.5*6.5*2</f>
        <v>32.5</v>
      </c>
      <c r="E45" s="88"/>
      <c r="F45" s="88">
        <f t="shared" ref="F45" si="5">ROUND(D45*E45,2)</f>
        <v>0</v>
      </c>
      <c r="G45" s="56"/>
      <c r="H45" s="56"/>
      <c r="I45" s="56"/>
      <c r="J45" s="56"/>
    </row>
    <row r="46" spans="1:22" s="48" customFormat="1" ht="30" x14ac:dyDescent="0.25">
      <c r="A46" s="84" t="s">
        <v>88</v>
      </c>
      <c r="B46" s="85" t="s">
        <v>92</v>
      </c>
      <c r="C46" s="86" t="s">
        <v>3</v>
      </c>
      <c r="D46" s="87">
        <v>52</v>
      </c>
      <c r="E46" s="88"/>
      <c r="F46" s="88">
        <f t="shared" si="4"/>
        <v>0</v>
      </c>
      <c r="G46" s="56"/>
      <c r="H46" s="56"/>
      <c r="I46" s="56"/>
      <c r="J46" s="56"/>
    </row>
    <row r="47" spans="1:22" s="48" customFormat="1" ht="30" x14ac:dyDescent="0.25">
      <c r="A47" s="84" t="s">
        <v>89</v>
      </c>
      <c r="B47" s="85" t="s">
        <v>93</v>
      </c>
      <c r="C47" s="86" t="s">
        <v>3</v>
      </c>
      <c r="D47" s="87">
        <v>108</v>
      </c>
      <c r="E47" s="88"/>
      <c r="F47" s="88">
        <f t="shared" si="4"/>
        <v>0</v>
      </c>
      <c r="G47" s="56"/>
      <c r="H47" s="56"/>
      <c r="I47" s="56"/>
      <c r="J47" s="56"/>
    </row>
    <row r="48" spans="1:22" s="48" customFormat="1" ht="30" x14ac:dyDescent="0.25">
      <c r="A48" s="84" t="s">
        <v>90</v>
      </c>
      <c r="B48" s="85" t="s">
        <v>94</v>
      </c>
      <c r="C48" s="86" t="s">
        <v>3</v>
      </c>
      <c r="D48" s="87">
        <v>18</v>
      </c>
      <c r="E48" s="88"/>
      <c r="F48" s="88">
        <f t="shared" si="4"/>
        <v>0</v>
      </c>
      <c r="G48" s="56"/>
      <c r="H48" s="56"/>
      <c r="I48" s="56"/>
      <c r="J48" s="56"/>
    </row>
    <row r="49" spans="1:10" s="48" customFormat="1" ht="30" x14ac:dyDescent="0.25">
      <c r="A49" s="84" t="s">
        <v>91</v>
      </c>
      <c r="B49" s="85" t="s">
        <v>116</v>
      </c>
      <c r="C49" s="86" t="s">
        <v>3</v>
      </c>
      <c r="D49" s="87">
        <v>49</v>
      </c>
      <c r="E49" s="88"/>
      <c r="F49" s="88">
        <f t="shared" si="4"/>
        <v>0</v>
      </c>
      <c r="G49" s="56"/>
      <c r="H49" s="56"/>
      <c r="I49" s="56"/>
      <c r="J49" s="56"/>
    </row>
    <row r="50" spans="1:10" s="48" customFormat="1" ht="45" x14ac:dyDescent="0.25">
      <c r="A50" s="84" t="s">
        <v>171</v>
      </c>
      <c r="B50" s="85" t="s">
        <v>15</v>
      </c>
      <c r="C50" s="86" t="s">
        <v>3</v>
      </c>
      <c r="D50" s="87">
        <v>18</v>
      </c>
      <c r="E50" s="88"/>
      <c r="F50" s="88">
        <f t="shared" si="4"/>
        <v>0</v>
      </c>
      <c r="G50" s="56"/>
      <c r="H50" s="56"/>
      <c r="I50" s="56"/>
      <c r="J50" s="56"/>
    </row>
    <row r="51" spans="1:10" s="48" customFormat="1" ht="15" x14ac:dyDescent="0.25">
      <c r="A51" s="79" t="s">
        <v>130</v>
      </c>
      <c r="B51" s="80" t="s">
        <v>37</v>
      </c>
      <c r="C51" s="81"/>
      <c r="D51" s="82"/>
      <c r="E51" s="82"/>
      <c r="F51" s="83">
        <f>SUM(F52:F61)</f>
        <v>0</v>
      </c>
      <c r="G51" s="56"/>
      <c r="H51" s="56"/>
      <c r="I51" s="56"/>
      <c r="J51" s="56"/>
    </row>
    <row r="52" spans="1:10" s="48" customFormat="1" ht="15" x14ac:dyDescent="0.25">
      <c r="A52" s="84" t="s">
        <v>131</v>
      </c>
      <c r="B52" s="85" t="s">
        <v>155</v>
      </c>
      <c r="C52" s="86" t="s">
        <v>6</v>
      </c>
      <c r="D52" s="87">
        <f>3*24.75+10</f>
        <v>84.25</v>
      </c>
      <c r="E52" s="88"/>
      <c r="F52" s="88">
        <f t="shared" si="4"/>
        <v>0</v>
      </c>
      <c r="G52" s="56"/>
      <c r="H52" s="56"/>
      <c r="I52" s="56"/>
      <c r="J52" s="56"/>
    </row>
    <row r="53" spans="1:10" s="47" customFormat="1" ht="15" x14ac:dyDescent="0.25">
      <c r="A53" s="84" t="s">
        <v>132</v>
      </c>
      <c r="B53" s="85" t="s">
        <v>102</v>
      </c>
      <c r="C53" s="86" t="s">
        <v>1</v>
      </c>
      <c r="D53" s="87">
        <v>6</v>
      </c>
      <c r="E53" s="88"/>
      <c r="F53" s="88">
        <f t="shared" si="4"/>
        <v>0</v>
      </c>
      <c r="G53" s="56"/>
      <c r="H53" s="56"/>
      <c r="I53" s="56"/>
      <c r="J53" s="56"/>
    </row>
    <row r="54" spans="1:10" s="47" customFormat="1" ht="30" x14ac:dyDescent="0.25">
      <c r="A54" s="84" t="s">
        <v>133</v>
      </c>
      <c r="B54" s="85" t="s">
        <v>72</v>
      </c>
      <c r="C54" s="86" t="s">
        <v>44</v>
      </c>
      <c r="D54" s="87">
        <v>2</v>
      </c>
      <c r="E54" s="88"/>
      <c r="F54" s="88">
        <f t="shared" si="4"/>
        <v>0</v>
      </c>
      <c r="G54" s="56"/>
      <c r="H54" s="56"/>
      <c r="I54" s="56"/>
      <c r="J54" s="56"/>
    </row>
    <row r="55" spans="1:10" s="47" customFormat="1" ht="45" x14ac:dyDescent="0.25">
      <c r="A55" s="84" t="s">
        <v>134</v>
      </c>
      <c r="B55" s="85" t="s">
        <v>142</v>
      </c>
      <c r="C55" s="86" t="s">
        <v>44</v>
      </c>
      <c r="D55" s="87">
        <v>2</v>
      </c>
      <c r="E55" s="88"/>
      <c r="F55" s="88">
        <f t="shared" si="4"/>
        <v>0</v>
      </c>
      <c r="G55" s="56"/>
      <c r="H55" s="56"/>
      <c r="I55" s="56"/>
      <c r="J55" s="56"/>
    </row>
    <row r="56" spans="1:10" s="48" customFormat="1" ht="48.75" customHeight="1" x14ac:dyDescent="0.25">
      <c r="A56" s="84" t="s">
        <v>135</v>
      </c>
      <c r="B56" s="85" t="s">
        <v>41</v>
      </c>
      <c r="C56" s="86" t="s">
        <v>6</v>
      </c>
      <c r="D56" s="87">
        <f>22.71*2</f>
        <v>45.42</v>
      </c>
      <c r="E56" s="88"/>
      <c r="F56" s="88">
        <f t="shared" si="4"/>
        <v>0</v>
      </c>
      <c r="G56" s="56"/>
      <c r="H56" s="56"/>
      <c r="I56" s="56"/>
      <c r="J56" s="56"/>
    </row>
    <row r="57" spans="1:10" s="48" customFormat="1" ht="15" x14ac:dyDescent="0.25">
      <c r="A57" s="84" t="s">
        <v>136</v>
      </c>
      <c r="B57" s="85" t="s">
        <v>42</v>
      </c>
      <c r="C57" s="86" t="s">
        <v>6</v>
      </c>
      <c r="D57" s="87">
        <f>22.71*2</f>
        <v>45.42</v>
      </c>
      <c r="E57" s="88"/>
      <c r="F57" s="88">
        <f t="shared" si="4"/>
        <v>0</v>
      </c>
      <c r="G57" s="56"/>
      <c r="H57" s="56"/>
      <c r="I57" s="56"/>
      <c r="J57" s="56"/>
    </row>
    <row r="58" spans="1:10" s="48" customFormat="1" ht="45" x14ac:dyDescent="0.25">
      <c r="A58" s="84" t="s">
        <v>137</v>
      </c>
      <c r="B58" s="85" t="s">
        <v>40</v>
      </c>
      <c r="C58" s="86" t="s">
        <v>5</v>
      </c>
      <c r="D58" s="87">
        <f>5.8*(22.71+1+1)</f>
        <v>143.31800000000001</v>
      </c>
      <c r="E58" s="88"/>
      <c r="F58" s="88">
        <f t="shared" si="4"/>
        <v>0</v>
      </c>
      <c r="G58" s="56"/>
      <c r="H58" s="56"/>
      <c r="I58" s="56"/>
      <c r="J58" s="56"/>
    </row>
    <row r="59" spans="1:10" s="48" customFormat="1" ht="30" x14ac:dyDescent="0.25">
      <c r="A59" s="84" t="s">
        <v>138</v>
      </c>
      <c r="B59" s="85" t="s">
        <v>39</v>
      </c>
      <c r="C59" s="86" t="s">
        <v>5</v>
      </c>
      <c r="D59" s="87">
        <f>0.48*4*2</f>
        <v>3.84</v>
      </c>
      <c r="E59" s="88"/>
      <c r="F59" s="88">
        <f t="shared" si="4"/>
        <v>0</v>
      </c>
      <c r="G59" s="56"/>
      <c r="H59" s="56"/>
      <c r="I59" s="56"/>
      <c r="J59" s="56"/>
    </row>
    <row r="60" spans="1:10" s="47" customFormat="1" ht="15" x14ac:dyDescent="0.25">
      <c r="A60" s="84" t="s">
        <v>140</v>
      </c>
      <c r="B60" s="85" t="s">
        <v>16</v>
      </c>
      <c r="C60" s="86" t="s">
        <v>6</v>
      </c>
      <c r="D60" s="87">
        <f>2*24.7</f>
        <v>49.4</v>
      </c>
      <c r="E60" s="88"/>
      <c r="F60" s="88">
        <f t="shared" si="4"/>
        <v>0</v>
      </c>
      <c r="G60" s="56"/>
      <c r="H60" s="56"/>
      <c r="I60" s="56"/>
      <c r="J60" s="56"/>
    </row>
    <row r="61" spans="1:10" s="48" customFormat="1" ht="45" x14ac:dyDescent="0.25">
      <c r="A61" s="84" t="s">
        <v>141</v>
      </c>
      <c r="B61" s="98" t="s">
        <v>43</v>
      </c>
      <c r="C61" s="86" t="s">
        <v>6</v>
      </c>
      <c r="D61" s="87">
        <f>23.36*2</f>
        <v>46.72</v>
      </c>
      <c r="E61" s="88"/>
      <c r="F61" s="88">
        <f t="shared" si="4"/>
        <v>0</v>
      </c>
      <c r="G61" s="56"/>
      <c r="H61" s="56"/>
      <c r="I61" s="56"/>
      <c r="J61" s="56"/>
    </row>
    <row r="62" spans="1:10" s="48" customFormat="1" ht="15" x14ac:dyDescent="0.25">
      <c r="A62" s="79" t="s">
        <v>95</v>
      </c>
      <c r="B62" s="80" t="s">
        <v>38</v>
      </c>
      <c r="C62" s="81"/>
      <c r="D62" s="82"/>
      <c r="E62" s="82"/>
      <c r="F62" s="83">
        <f>SUM(F63:F67)</f>
        <v>0</v>
      </c>
      <c r="G62" s="56"/>
      <c r="H62" s="56"/>
      <c r="I62" s="56"/>
      <c r="J62" s="56"/>
    </row>
    <row r="63" spans="1:10" s="47" customFormat="1" ht="60" x14ac:dyDescent="0.25">
      <c r="A63" s="84" t="s">
        <v>96</v>
      </c>
      <c r="B63" s="85" t="s">
        <v>109</v>
      </c>
      <c r="C63" s="86" t="s">
        <v>3</v>
      </c>
      <c r="D63" s="88">
        <f>D66*0.2</f>
        <v>36</v>
      </c>
      <c r="E63" s="88"/>
      <c r="F63" s="88">
        <f t="shared" si="4"/>
        <v>0</v>
      </c>
      <c r="G63" s="56"/>
      <c r="H63" s="56"/>
      <c r="I63" s="56"/>
      <c r="J63" s="56"/>
    </row>
    <row r="64" spans="1:10" s="47" customFormat="1" ht="60" x14ac:dyDescent="0.25">
      <c r="A64" s="84" t="s">
        <v>145</v>
      </c>
      <c r="B64" s="85" t="s">
        <v>74</v>
      </c>
      <c r="C64" s="86" t="s">
        <v>3</v>
      </c>
      <c r="D64" s="88">
        <f>D66*0.45</f>
        <v>81</v>
      </c>
      <c r="E64" s="88"/>
      <c r="F64" s="88">
        <f t="shared" si="4"/>
        <v>0</v>
      </c>
      <c r="G64" s="56"/>
      <c r="H64" s="56"/>
      <c r="I64" s="56"/>
      <c r="J64" s="56"/>
    </row>
    <row r="65" spans="1:10" s="48" customFormat="1" ht="45" x14ac:dyDescent="0.25">
      <c r="A65" s="84" t="s">
        <v>146</v>
      </c>
      <c r="B65" s="98" t="s">
        <v>125</v>
      </c>
      <c r="C65" s="86" t="s">
        <v>5</v>
      </c>
      <c r="D65" s="87">
        <f>+D58</f>
        <v>143.31800000000001</v>
      </c>
      <c r="E65" s="88"/>
      <c r="F65" s="88">
        <f t="shared" si="4"/>
        <v>0</v>
      </c>
      <c r="G65" s="56"/>
      <c r="H65" s="56"/>
      <c r="I65" s="56"/>
      <c r="J65" s="56"/>
    </row>
    <row r="66" spans="1:10" s="48" customFormat="1" ht="30" x14ac:dyDescent="0.25">
      <c r="A66" s="84" t="s">
        <v>147</v>
      </c>
      <c r="B66" s="85" t="s">
        <v>151</v>
      </c>
      <c r="C66" s="86" t="s">
        <v>5</v>
      </c>
      <c r="D66" s="87">
        <v>180</v>
      </c>
      <c r="E66" s="88"/>
      <c r="F66" s="88">
        <f t="shared" si="4"/>
        <v>0</v>
      </c>
      <c r="G66" s="56"/>
      <c r="H66" s="56"/>
      <c r="I66" s="56"/>
      <c r="J66" s="56"/>
    </row>
    <row r="67" spans="1:10" s="48" customFormat="1" ht="30" x14ac:dyDescent="0.25">
      <c r="A67" s="84" t="s">
        <v>148</v>
      </c>
      <c r="B67" s="85" t="s">
        <v>110</v>
      </c>
      <c r="C67" s="86" t="s">
        <v>5</v>
      </c>
      <c r="D67" s="87">
        <f>D66</f>
        <v>180</v>
      </c>
      <c r="E67" s="88"/>
      <c r="F67" s="88">
        <f t="shared" si="4"/>
        <v>0</v>
      </c>
      <c r="G67" s="56"/>
      <c r="H67" s="56"/>
      <c r="I67" s="56"/>
      <c r="J67" s="56"/>
    </row>
    <row r="68" spans="1:10" s="52" customFormat="1" ht="15" x14ac:dyDescent="0.25">
      <c r="A68" s="79" t="s">
        <v>97</v>
      </c>
      <c r="B68" s="80" t="s">
        <v>7</v>
      </c>
      <c r="C68" s="81"/>
      <c r="D68" s="82"/>
      <c r="E68" s="82"/>
      <c r="F68" s="83">
        <f>SUM(F69:F73)</f>
        <v>0</v>
      </c>
      <c r="G68" s="57"/>
      <c r="H68" s="57"/>
      <c r="I68" s="57"/>
      <c r="J68" s="57"/>
    </row>
    <row r="69" spans="1:10" s="48" customFormat="1" ht="15" x14ac:dyDescent="0.25">
      <c r="A69" s="84" t="s">
        <v>98</v>
      </c>
      <c r="B69" s="85" t="s">
        <v>173</v>
      </c>
      <c r="C69" s="86" t="s">
        <v>8</v>
      </c>
      <c r="D69" s="87">
        <v>12</v>
      </c>
      <c r="E69" s="118">
        <v>0</v>
      </c>
      <c r="F69" s="88">
        <f t="shared" si="4"/>
        <v>0</v>
      </c>
      <c r="G69" s="56"/>
      <c r="H69" s="56"/>
      <c r="I69" s="56"/>
      <c r="J69" s="56"/>
    </row>
    <row r="70" spans="1:10" s="48" customFormat="1" ht="15" x14ac:dyDescent="0.25">
      <c r="A70" s="84" t="s">
        <v>120</v>
      </c>
      <c r="B70" s="85" t="s">
        <v>174</v>
      </c>
      <c r="C70" s="86" t="s">
        <v>8</v>
      </c>
      <c r="D70" s="87">
        <v>20</v>
      </c>
      <c r="E70" s="118">
        <v>0</v>
      </c>
      <c r="F70" s="88">
        <f t="shared" si="4"/>
        <v>0</v>
      </c>
      <c r="G70" s="56"/>
      <c r="H70" s="56"/>
      <c r="I70" s="56"/>
      <c r="J70" s="56"/>
    </row>
    <row r="71" spans="1:10" s="48" customFormat="1" ht="15" x14ac:dyDescent="0.25">
      <c r="A71" s="84" t="s">
        <v>99</v>
      </c>
      <c r="B71" s="85" t="s">
        <v>157</v>
      </c>
      <c r="C71" s="86" t="s">
        <v>44</v>
      </c>
      <c r="D71" s="87">
        <v>1</v>
      </c>
      <c r="E71" s="88"/>
      <c r="F71" s="88">
        <f t="shared" si="4"/>
        <v>0</v>
      </c>
      <c r="G71" s="56"/>
      <c r="H71" s="56"/>
      <c r="I71" s="56"/>
      <c r="J71" s="56"/>
    </row>
    <row r="72" spans="1:10" s="48" customFormat="1" ht="30" x14ac:dyDescent="0.25">
      <c r="A72" s="84" t="s">
        <v>100</v>
      </c>
      <c r="B72" s="85" t="s">
        <v>13</v>
      </c>
      <c r="C72" s="86" t="s">
        <v>1</v>
      </c>
      <c r="D72" s="87">
        <v>1</v>
      </c>
      <c r="E72" s="88"/>
      <c r="F72" s="88">
        <f t="shared" si="4"/>
        <v>0</v>
      </c>
      <c r="G72" s="93"/>
      <c r="H72" s="56"/>
      <c r="I72" s="104"/>
      <c r="J72" s="56"/>
    </row>
    <row r="73" spans="1:10" s="48" customFormat="1" ht="15" x14ac:dyDescent="0.25">
      <c r="A73" s="84" t="s">
        <v>156</v>
      </c>
      <c r="B73" s="85" t="s">
        <v>159</v>
      </c>
      <c r="C73" s="86" t="s">
        <v>9</v>
      </c>
      <c r="D73" s="87">
        <v>1</v>
      </c>
      <c r="E73" s="88"/>
      <c r="F73" s="88">
        <f>ROUND(D73*E73,2)</f>
        <v>0</v>
      </c>
      <c r="G73" s="56"/>
      <c r="H73" s="56"/>
      <c r="I73" s="56"/>
      <c r="J73" s="56"/>
    </row>
    <row r="74" spans="1:10" s="52" customFormat="1" ht="15" x14ac:dyDescent="0.25">
      <c r="A74" s="89"/>
      <c r="B74" s="90" t="s">
        <v>73</v>
      </c>
      <c r="C74" s="91"/>
      <c r="D74" s="91"/>
      <c r="E74" s="91"/>
      <c r="F74" s="92">
        <f>F68+F62+F51+F43+F39+F30+F13+F5+F25</f>
        <v>0</v>
      </c>
      <c r="G74" s="57"/>
      <c r="H74" s="57"/>
      <c r="I74" s="57"/>
      <c r="J74" s="57"/>
    </row>
    <row r="75" spans="1:10" s="48" customFormat="1" x14ac:dyDescent="0.2">
      <c r="A75" s="53"/>
      <c r="B75" s="49"/>
      <c r="C75" s="50"/>
      <c r="D75" s="51"/>
      <c r="E75" s="51"/>
      <c r="F75" s="51"/>
      <c r="I75" s="56"/>
    </row>
    <row r="76" spans="1:10" s="48" customFormat="1" x14ac:dyDescent="0.2">
      <c r="A76" s="53"/>
      <c r="B76" s="49"/>
      <c r="C76" s="50"/>
      <c r="D76" s="51"/>
      <c r="E76" s="51"/>
      <c r="F76" s="51"/>
      <c r="I76" s="56"/>
    </row>
    <row r="77" spans="1:10" s="48" customFormat="1" x14ac:dyDescent="0.2">
      <c r="A77" s="53"/>
      <c r="B77" s="49"/>
      <c r="C77" s="50"/>
      <c r="D77" s="51"/>
      <c r="E77" s="51"/>
      <c r="F77" s="51"/>
      <c r="I77" s="56"/>
    </row>
    <row r="78" spans="1:10" s="48" customFormat="1" x14ac:dyDescent="0.2">
      <c r="A78" s="53"/>
      <c r="B78" s="49"/>
      <c r="C78" s="50"/>
      <c r="D78" s="51"/>
      <c r="E78" s="51"/>
      <c r="F78" s="51"/>
      <c r="I78" s="56"/>
    </row>
    <row r="79" spans="1:10" s="48" customFormat="1" x14ac:dyDescent="0.2">
      <c r="A79" s="53"/>
      <c r="B79" s="49"/>
      <c r="C79" s="50"/>
      <c r="D79" s="51"/>
      <c r="E79" s="51"/>
      <c r="F79" s="51"/>
      <c r="I79" s="56"/>
    </row>
    <row r="80" spans="1:10" s="48" customFormat="1" x14ac:dyDescent="0.2">
      <c r="A80" s="53"/>
      <c r="B80" s="49"/>
      <c r="C80" s="50"/>
      <c r="D80" s="51"/>
      <c r="E80" s="51"/>
      <c r="F80" s="51"/>
      <c r="I80" s="56"/>
    </row>
    <row r="81" spans="1:9" s="48" customFormat="1" x14ac:dyDescent="0.2">
      <c r="A81" s="53"/>
      <c r="B81" s="49"/>
      <c r="C81" s="50"/>
      <c r="D81" s="51"/>
      <c r="E81" s="51"/>
      <c r="F81" s="51"/>
      <c r="I81" s="56"/>
    </row>
    <row r="82" spans="1:9" s="48" customFormat="1" x14ac:dyDescent="0.2">
      <c r="A82" s="53"/>
      <c r="B82" s="49"/>
      <c r="C82" s="50"/>
      <c r="D82" s="51"/>
      <c r="E82" s="51"/>
      <c r="F82" s="51"/>
      <c r="I82" s="56"/>
    </row>
    <row r="83" spans="1:9" s="48" customFormat="1" x14ac:dyDescent="0.2">
      <c r="A83" s="53"/>
      <c r="B83" s="49"/>
      <c r="C83" s="50"/>
      <c r="D83" s="51"/>
      <c r="E83" s="51"/>
      <c r="F83" s="51"/>
      <c r="I83" s="56"/>
    </row>
    <row r="84" spans="1:9" s="48" customFormat="1" x14ac:dyDescent="0.2">
      <c r="A84" s="53"/>
      <c r="B84" s="49"/>
      <c r="C84" s="50"/>
      <c r="D84" s="51"/>
      <c r="E84" s="51"/>
      <c r="F84" s="51"/>
      <c r="I84" s="56"/>
    </row>
    <row r="85" spans="1:9" s="48" customFormat="1" x14ac:dyDescent="0.2">
      <c r="A85" s="53"/>
      <c r="B85" s="49"/>
      <c r="C85" s="50"/>
      <c r="D85" s="51"/>
      <c r="E85" s="51"/>
      <c r="F85" s="51"/>
      <c r="I85" s="56"/>
    </row>
    <row r="86" spans="1:9" s="48" customFormat="1" x14ac:dyDescent="0.2">
      <c r="A86" s="53"/>
      <c r="B86" s="49"/>
      <c r="C86" s="50"/>
      <c r="D86" s="51"/>
      <c r="E86" s="51"/>
      <c r="F86" s="51"/>
      <c r="I86" s="56"/>
    </row>
    <row r="87" spans="1:9" s="48" customFormat="1" x14ac:dyDescent="0.2">
      <c r="A87" s="53"/>
      <c r="B87" s="49"/>
      <c r="C87" s="50"/>
      <c r="D87" s="51"/>
      <c r="E87" s="51"/>
      <c r="F87" s="51"/>
      <c r="I87" s="56"/>
    </row>
    <row r="88" spans="1:9" s="48" customFormat="1" x14ac:dyDescent="0.2">
      <c r="A88" s="53"/>
      <c r="B88" s="49"/>
      <c r="C88" s="50"/>
      <c r="D88" s="51"/>
      <c r="E88" s="51"/>
      <c r="F88" s="51"/>
      <c r="I88" s="56"/>
    </row>
    <row r="89" spans="1:9" s="48" customFormat="1" x14ac:dyDescent="0.2">
      <c r="A89" s="53"/>
      <c r="B89" s="49"/>
      <c r="C89" s="50"/>
      <c r="D89" s="51"/>
      <c r="E89" s="51"/>
      <c r="F89" s="51"/>
      <c r="I89" s="56"/>
    </row>
    <row r="90" spans="1:9" s="48" customFormat="1" x14ac:dyDescent="0.2">
      <c r="A90" s="53"/>
      <c r="B90" s="49"/>
      <c r="C90" s="50"/>
      <c r="D90" s="51"/>
      <c r="E90" s="51"/>
      <c r="F90" s="51"/>
      <c r="I90" s="56"/>
    </row>
    <row r="91" spans="1:9" s="48" customFormat="1" x14ac:dyDescent="0.2">
      <c r="A91" s="53"/>
      <c r="B91" s="49"/>
      <c r="C91" s="50"/>
      <c r="D91" s="51"/>
      <c r="E91" s="51"/>
      <c r="F91" s="51"/>
      <c r="I91" s="56"/>
    </row>
    <row r="92" spans="1:9" s="48" customFormat="1" x14ac:dyDescent="0.2">
      <c r="A92" s="53"/>
      <c r="B92" s="49"/>
      <c r="C92" s="50"/>
      <c r="D92" s="51"/>
      <c r="E92" s="51"/>
      <c r="F92" s="51"/>
      <c r="I92" s="56"/>
    </row>
    <row r="93" spans="1:9" s="48" customFormat="1" x14ac:dyDescent="0.2">
      <c r="A93" s="53"/>
      <c r="B93" s="49"/>
      <c r="C93" s="50"/>
      <c r="D93" s="51"/>
      <c r="E93" s="51"/>
      <c r="F93" s="51"/>
      <c r="I93" s="56"/>
    </row>
    <row r="94" spans="1:9" s="48" customFormat="1" x14ac:dyDescent="0.2">
      <c r="A94" s="53"/>
      <c r="B94" s="49"/>
      <c r="C94" s="50"/>
      <c r="D94" s="51"/>
      <c r="E94" s="51"/>
      <c r="F94" s="51"/>
      <c r="I94" s="56"/>
    </row>
    <row r="95" spans="1:9" s="48" customFormat="1" x14ac:dyDescent="0.2">
      <c r="A95" s="53"/>
      <c r="B95" s="49"/>
      <c r="C95" s="50"/>
      <c r="D95" s="51"/>
      <c r="E95" s="51"/>
      <c r="F95" s="51"/>
      <c r="I95" s="56"/>
    </row>
    <row r="96" spans="1:9" s="48" customFormat="1" x14ac:dyDescent="0.2">
      <c r="A96" s="53"/>
      <c r="B96" s="49"/>
      <c r="C96" s="50"/>
      <c r="D96" s="51"/>
      <c r="E96" s="51"/>
      <c r="F96" s="51"/>
      <c r="I96" s="56"/>
    </row>
    <row r="97" spans="1:9" s="48" customFormat="1" x14ac:dyDescent="0.2">
      <c r="A97" s="53"/>
      <c r="B97" s="49"/>
      <c r="C97" s="50"/>
      <c r="D97" s="51"/>
      <c r="E97" s="51"/>
      <c r="F97" s="51"/>
      <c r="I97" s="56"/>
    </row>
    <row r="98" spans="1:9" s="48" customFormat="1" x14ac:dyDescent="0.2">
      <c r="A98" s="53"/>
      <c r="B98" s="49"/>
      <c r="C98" s="50"/>
      <c r="D98" s="51"/>
      <c r="E98" s="51"/>
      <c r="F98" s="51"/>
      <c r="I98" s="56"/>
    </row>
    <row r="99" spans="1:9" s="48" customFormat="1" x14ac:dyDescent="0.2">
      <c r="A99" s="53"/>
      <c r="B99" s="49"/>
      <c r="C99" s="50"/>
      <c r="D99" s="51"/>
      <c r="E99" s="51"/>
      <c r="F99" s="51"/>
      <c r="I99" s="56"/>
    </row>
    <row r="100" spans="1:9" s="48" customFormat="1" x14ac:dyDescent="0.2">
      <c r="A100" s="53"/>
      <c r="B100" s="49"/>
      <c r="C100" s="50"/>
      <c r="D100" s="51"/>
      <c r="E100" s="51"/>
      <c r="F100" s="51"/>
      <c r="I100" s="56"/>
    </row>
    <row r="101" spans="1:9" s="48" customFormat="1" x14ac:dyDescent="0.2">
      <c r="A101" s="53"/>
      <c r="B101" s="49"/>
      <c r="C101" s="50"/>
      <c r="D101" s="51"/>
      <c r="E101" s="51"/>
      <c r="F101" s="51"/>
      <c r="I101" s="56"/>
    </row>
    <row r="102" spans="1:9" s="48" customFormat="1" x14ac:dyDescent="0.2">
      <c r="A102" s="53"/>
      <c r="B102" s="49"/>
      <c r="C102" s="50"/>
      <c r="D102" s="51"/>
      <c r="E102" s="51"/>
      <c r="F102" s="51"/>
      <c r="I102" s="56"/>
    </row>
    <row r="103" spans="1:9" s="48" customFormat="1" x14ac:dyDescent="0.2">
      <c r="A103" s="53"/>
      <c r="B103" s="49"/>
      <c r="C103" s="50"/>
      <c r="D103" s="51"/>
      <c r="E103" s="51"/>
      <c r="F103" s="51"/>
      <c r="I103" s="56"/>
    </row>
    <row r="104" spans="1:9" s="48" customFormat="1" x14ac:dyDescent="0.2">
      <c r="A104" s="53"/>
      <c r="B104" s="49"/>
      <c r="C104" s="50"/>
      <c r="D104" s="51"/>
      <c r="E104" s="51"/>
      <c r="F104" s="51"/>
      <c r="I104" s="56"/>
    </row>
    <row r="105" spans="1:9" s="48" customFormat="1" x14ac:dyDescent="0.2">
      <c r="A105" s="53"/>
      <c r="B105" s="49"/>
      <c r="C105" s="50"/>
      <c r="D105" s="51"/>
      <c r="E105" s="51"/>
      <c r="F105" s="51"/>
      <c r="I105" s="56"/>
    </row>
    <row r="106" spans="1:9" s="48" customFormat="1" x14ac:dyDescent="0.2">
      <c r="A106" s="53"/>
      <c r="B106" s="49"/>
      <c r="C106" s="50"/>
      <c r="D106" s="51"/>
      <c r="E106" s="51"/>
      <c r="F106" s="51"/>
      <c r="I106" s="56"/>
    </row>
    <row r="107" spans="1:9" s="48" customFormat="1" x14ac:dyDescent="0.2">
      <c r="A107" s="53"/>
      <c r="B107" s="49"/>
      <c r="C107" s="50"/>
      <c r="D107" s="51"/>
      <c r="E107" s="51"/>
      <c r="F107" s="51"/>
      <c r="I107" s="56"/>
    </row>
    <row r="108" spans="1:9" s="48" customFormat="1" x14ac:dyDescent="0.2">
      <c r="A108" s="53"/>
      <c r="B108" s="49"/>
      <c r="C108" s="50"/>
      <c r="D108" s="51"/>
      <c r="E108" s="51"/>
      <c r="F108" s="51"/>
      <c r="I108" s="56"/>
    </row>
    <row r="109" spans="1:9" s="48" customFormat="1" x14ac:dyDescent="0.2">
      <c r="A109" s="53"/>
      <c r="B109" s="49"/>
      <c r="C109" s="50"/>
      <c r="D109" s="51"/>
      <c r="E109" s="51"/>
      <c r="F109" s="51"/>
      <c r="I109" s="56"/>
    </row>
    <row r="110" spans="1:9" s="48" customFormat="1" x14ac:dyDescent="0.2">
      <c r="A110" s="53"/>
      <c r="B110" s="49"/>
      <c r="C110" s="50"/>
      <c r="D110" s="51"/>
      <c r="E110" s="51"/>
      <c r="F110" s="51"/>
      <c r="I110" s="56"/>
    </row>
    <row r="111" spans="1:9" s="48" customFormat="1" x14ac:dyDescent="0.2">
      <c r="A111" s="53"/>
      <c r="B111" s="49"/>
      <c r="C111" s="50"/>
      <c r="D111" s="51"/>
      <c r="E111" s="51"/>
      <c r="F111" s="51"/>
      <c r="I111" s="56"/>
    </row>
    <row r="112" spans="1:9" s="48" customFormat="1" x14ac:dyDescent="0.2">
      <c r="A112" s="53"/>
      <c r="B112" s="49"/>
      <c r="C112" s="50"/>
      <c r="D112" s="51"/>
      <c r="E112" s="51"/>
      <c r="F112" s="51"/>
      <c r="I112" s="56"/>
    </row>
    <row r="113" spans="1:9" s="48" customFormat="1" x14ac:dyDescent="0.2">
      <c r="A113" s="53"/>
      <c r="B113" s="49"/>
      <c r="C113" s="50"/>
      <c r="D113" s="51"/>
      <c r="E113" s="51"/>
      <c r="F113" s="51"/>
      <c r="I113" s="56"/>
    </row>
    <row r="114" spans="1:9" s="48" customFormat="1" x14ac:dyDescent="0.2">
      <c r="A114" s="53"/>
      <c r="B114" s="49"/>
      <c r="C114" s="50"/>
      <c r="D114" s="51"/>
      <c r="E114" s="51"/>
      <c r="F114" s="51"/>
      <c r="I114" s="56"/>
    </row>
    <row r="115" spans="1:9" s="48" customFormat="1" x14ac:dyDescent="0.2">
      <c r="A115" s="53"/>
      <c r="B115" s="49"/>
      <c r="C115" s="50"/>
      <c r="D115" s="51"/>
      <c r="E115" s="51"/>
      <c r="F115" s="51"/>
      <c r="I115" s="56"/>
    </row>
    <row r="116" spans="1:9" s="48" customFormat="1" x14ac:dyDescent="0.2">
      <c r="A116" s="53"/>
      <c r="B116" s="49"/>
      <c r="C116" s="50"/>
      <c r="D116" s="51"/>
      <c r="E116" s="51"/>
      <c r="F116" s="51"/>
      <c r="I116" s="56"/>
    </row>
    <row r="117" spans="1:9" s="48" customFormat="1" x14ac:dyDescent="0.2">
      <c r="A117" s="53"/>
      <c r="B117" s="49"/>
      <c r="C117" s="50"/>
      <c r="D117" s="51"/>
      <c r="E117" s="51"/>
      <c r="F117" s="51"/>
      <c r="I117" s="56"/>
    </row>
    <row r="118" spans="1:9" s="48" customFormat="1" x14ac:dyDescent="0.2">
      <c r="A118" s="53"/>
      <c r="B118" s="49"/>
      <c r="C118" s="50"/>
      <c r="D118" s="51"/>
      <c r="E118" s="51"/>
      <c r="F118" s="51"/>
      <c r="I118" s="56"/>
    </row>
    <row r="119" spans="1:9" s="48" customFormat="1" x14ac:dyDescent="0.2">
      <c r="A119" s="53"/>
      <c r="B119" s="49"/>
      <c r="C119" s="50"/>
      <c r="D119" s="51"/>
      <c r="E119" s="51"/>
      <c r="F119" s="51"/>
      <c r="I119" s="56"/>
    </row>
    <row r="120" spans="1:9" s="48" customFormat="1" x14ac:dyDescent="0.2">
      <c r="A120" s="53"/>
      <c r="B120" s="49"/>
      <c r="C120" s="50"/>
      <c r="D120" s="51"/>
      <c r="E120" s="51"/>
      <c r="F120" s="51"/>
      <c r="I120" s="56"/>
    </row>
    <row r="121" spans="1:9" s="48" customFormat="1" x14ac:dyDescent="0.2">
      <c r="A121" s="53"/>
      <c r="B121" s="49"/>
      <c r="C121" s="50"/>
      <c r="D121" s="51"/>
      <c r="E121" s="51"/>
      <c r="F121" s="51"/>
      <c r="I121" s="56"/>
    </row>
    <row r="122" spans="1:9" s="48" customFormat="1" x14ac:dyDescent="0.2">
      <c r="A122" s="53"/>
      <c r="B122" s="49"/>
      <c r="C122" s="50"/>
      <c r="D122" s="51"/>
      <c r="E122" s="51"/>
      <c r="F122" s="51"/>
      <c r="I122" s="56"/>
    </row>
    <row r="123" spans="1:9" s="48" customFormat="1" x14ac:dyDescent="0.2">
      <c r="A123" s="53"/>
      <c r="B123" s="49"/>
      <c r="C123" s="50"/>
      <c r="D123" s="51"/>
      <c r="E123" s="51"/>
      <c r="F123" s="51"/>
      <c r="I123" s="56"/>
    </row>
    <row r="124" spans="1:9" s="48" customFormat="1" x14ac:dyDescent="0.2">
      <c r="A124" s="53"/>
      <c r="B124" s="49"/>
      <c r="C124" s="50"/>
      <c r="D124" s="51"/>
      <c r="E124" s="51"/>
      <c r="F124" s="51"/>
      <c r="I124" s="56"/>
    </row>
    <row r="125" spans="1:9" s="48" customFormat="1" x14ac:dyDescent="0.2">
      <c r="A125" s="53"/>
      <c r="B125" s="49"/>
      <c r="C125" s="50"/>
      <c r="D125" s="51"/>
      <c r="E125" s="51"/>
      <c r="F125" s="51"/>
      <c r="I125" s="56"/>
    </row>
    <row r="126" spans="1:9" s="48" customFormat="1" x14ac:dyDescent="0.2">
      <c r="A126" s="53"/>
      <c r="B126" s="49"/>
      <c r="C126" s="50"/>
      <c r="D126" s="51"/>
      <c r="E126" s="51"/>
      <c r="F126" s="51"/>
      <c r="I126" s="56"/>
    </row>
    <row r="127" spans="1:9" s="48" customFormat="1" x14ac:dyDescent="0.2">
      <c r="A127" s="53"/>
      <c r="B127" s="49"/>
      <c r="C127" s="50"/>
      <c r="D127" s="51"/>
      <c r="E127" s="51"/>
      <c r="F127" s="51"/>
      <c r="I127" s="56"/>
    </row>
    <row r="128" spans="1:9" s="48" customFormat="1" x14ac:dyDescent="0.2">
      <c r="A128" s="53"/>
      <c r="B128" s="49"/>
      <c r="C128" s="50"/>
      <c r="D128" s="51"/>
      <c r="E128" s="51"/>
      <c r="F128" s="51"/>
      <c r="I128" s="56"/>
    </row>
    <row r="129" spans="1:9" s="48" customFormat="1" x14ac:dyDescent="0.2">
      <c r="A129" s="53"/>
      <c r="B129" s="49"/>
      <c r="C129" s="50"/>
      <c r="D129" s="51"/>
      <c r="E129" s="51"/>
      <c r="F129" s="51"/>
      <c r="I129" s="56"/>
    </row>
    <row r="130" spans="1:9" s="48" customFormat="1" x14ac:dyDescent="0.2">
      <c r="A130" s="53"/>
      <c r="B130" s="49"/>
      <c r="C130" s="50"/>
      <c r="D130" s="51"/>
      <c r="E130" s="51"/>
      <c r="F130" s="51"/>
      <c r="I130" s="56"/>
    </row>
    <row r="131" spans="1:9" s="48" customFormat="1" x14ac:dyDescent="0.2">
      <c r="A131" s="53"/>
      <c r="B131" s="49"/>
      <c r="C131" s="50"/>
      <c r="D131" s="51"/>
      <c r="E131" s="51"/>
      <c r="F131" s="51"/>
      <c r="I131" s="56"/>
    </row>
    <row r="132" spans="1:9" s="48" customFormat="1" x14ac:dyDescent="0.2">
      <c r="A132" s="53"/>
      <c r="B132" s="49"/>
      <c r="C132" s="50"/>
      <c r="D132" s="51"/>
      <c r="E132" s="51"/>
      <c r="F132" s="51"/>
      <c r="I132" s="56"/>
    </row>
    <row r="133" spans="1:9" s="48" customFormat="1" x14ac:dyDescent="0.2">
      <c r="A133" s="53"/>
      <c r="B133" s="49"/>
      <c r="C133" s="50"/>
      <c r="D133" s="51"/>
      <c r="E133" s="51"/>
      <c r="F133" s="51"/>
      <c r="I133" s="56"/>
    </row>
    <row r="135" spans="1:9" s="54" customFormat="1" ht="18.75" x14ac:dyDescent="0.3">
      <c r="A135" s="53"/>
      <c r="B135" s="49"/>
      <c r="C135" s="50"/>
      <c r="D135" s="51"/>
      <c r="E135" s="51"/>
      <c r="F135" s="51"/>
      <c r="I135" s="58"/>
    </row>
    <row r="137" spans="1:9" s="54" customFormat="1" ht="18.75" x14ac:dyDescent="0.3">
      <c r="A137" s="53"/>
      <c r="B137" s="49"/>
      <c r="C137" s="50"/>
      <c r="D137" s="51"/>
      <c r="E137" s="51"/>
      <c r="F137" s="51"/>
      <c r="I137" s="58"/>
    </row>
    <row r="156" spans="1:9" s="51" customFormat="1" x14ac:dyDescent="0.2">
      <c r="A156" s="53"/>
      <c r="B156" s="49"/>
      <c r="C156" s="50"/>
      <c r="I156" s="59"/>
    </row>
    <row r="157" spans="1:9" s="51" customFormat="1" x14ac:dyDescent="0.2">
      <c r="A157" s="53"/>
      <c r="B157" s="49"/>
      <c r="C157" s="50"/>
      <c r="I157" s="59"/>
    </row>
  </sheetData>
  <protectedRanges>
    <protectedRange sqref="E54:E55" name="Obseg1_4"/>
  </protectedRanges>
  <phoneticPr fontId="3" type="noConversion"/>
  <pageMargins left="0.78740157480314965" right="0.19685039370078741" top="0.59055118110236227" bottom="0.59055118110236227" header="0" footer="0"/>
  <pageSetup paperSize="9" scale="62" orientation="portrait" r:id="rId1"/>
  <headerFooter>
    <oddHeader>&amp;C&amp;8&amp;F</oddHeader>
    <oddFooter>&amp;L&amp;8&amp;A&amp;C&amp;"Arial CE,Krepko" &amp;"Arial CE,Običajno"&amp;8Vsebino posameznih postavk popisa ni dovoljeno spreminjati!&amp;R&amp;8Stran &amp;P</oddFooter>
  </headerFooter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naslovnica</vt:lpstr>
      <vt:lpstr>MOST</vt:lpstr>
      <vt:lpstr>MOST!Področje_tiskanja</vt:lpstr>
      <vt:lpstr>MOST!Tiskanje_naslovov</vt:lpstr>
      <vt:lpstr>MOST!vert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Uroš Vogrinc</dc:creator>
  <cp:lastModifiedBy>Samo Begič</cp:lastModifiedBy>
  <cp:lastPrinted>2025-11-19T09:58:17Z</cp:lastPrinted>
  <dcterms:created xsi:type="dcterms:W3CDTF">2018-11-26T06:51:24Z</dcterms:created>
  <dcterms:modified xsi:type="dcterms:W3CDTF">2025-11-19T10:04:33Z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